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 год" sheetId="1" r:id="rId1"/>
  </sheets>
  <definedNames>
    <definedName name="_xlnm.Print_Area" localSheetId="0">'2013 год'!$A$1:$E$1185</definedName>
  </definedNames>
  <calcPr fullCalcOnLoad="1"/>
</workbook>
</file>

<file path=xl/sharedStrings.xml><?xml version="1.0" encoding="utf-8"?>
<sst xmlns="http://schemas.openxmlformats.org/spreadsheetml/2006/main" count="3072" uniqueCount="199">
  <si>
    <t>ОТЧЕТ</t>
  </si>
  <si>
    <t xml:space="preserve">о выполненных работах по текущему ремонту и содержанию </t>
  </si>
  <si>
    <t>Адрес</t>
  </si>
  <si>
    <t>№ дома</t>
  </si>
  <si>
    <t>Объем выполненных работ</t>
  </si>
  <si>
    <t>Стоимость работ, руб.</t>
  </si>
  <si>
    <t>ОБЩЕСТРОИТЕЛЬНЫЕ РАБОТЫ</t>
  </si>
  <si>
    <t>Ремонт лавочек</t>
  </si>
  <si>
    <t>Смена остеклений</t>
  </si>
  <si>
    <t>Крепление маршей лестницы</t>
  </si>
  <si>
    <t>Изготовление и устройство металлических поручней</t>
  </si>
  <si>
    <t>Окраска газового оборудования</t>
  </si>
  <si>
    <t>Устройство стяжек</t>
  </si>
  <si>
    <t>Изготовление и устройство металлических решеток</t>
  </si>
  <si>
    <t>Отмостка</t>
  </si>
  <si>
    <t>Ремонт подъезда</t>
  </si>
  <si>
    <t>Ремонт оконных и дверных блоков</t>
  </si>
  <si>
    <t>Ремонт козырька</t>
  </si>
  <si>
    <t>Устройство мелких покрытий из стали</t>
  </si>
  <si>
    <t>Ремонт полов и потолка</t>
  </si>
  <si>
    <t>Крепление отливов</t>
  </si>
  <si>
    <t>Крепление водосточной трубы</t>
  </si>
  <si>
    <t>Установка почтовых ящиков</t>
  </si>
  <si>
    <t>Ремонт стыков стеновых панелей (швы)</t>
  </si>
  <si>
    <t xml:space="preserve">Фасад </t>
  </si>
  <si>
    <t>Оштукатуривание поверхности (в т.ч. балконы)</t>
  </si>
  <si>
    <t>Чердак</t>
  </si>
  <si>
    <t>Спуск в подвал</t>
  </si>
  <si>
    <t>Демонтаж антенны с кровли</t>
  </si>
  <si>
    <t>Кирпичная кладка</t>
  </si>
  <si>
    <t>Обрезка деревьев</t>
  </si>
  <si>
    <t>БЛАГОУСТРОЙСТВО ДВОРОВОЙ ТЕРРИТОРИИ</t>
  </si>
  <si>
    <t>РЕМОНТ ВНУТРИДОМОВЫХ ИНЖЕНЕРНЫХ СИСТЕМ</t>
  </si>
  <si>
    <t>Смена трубопроводов, сгонов, приборов</t>
  </si>
  <si>
    <t>Установка счетчиков (водомерные узлы)</t>
  </si>
  <si>
    <t>Уборка подъезда</t>
  </si>
  <si>
    <t>Опрессовка</t>
  </si>
  <si>
    <t>Смена ламп</t>
  </si>
  <si>
    <t>Установка электросчетчиков</t>
  </si>
  <si>
    <t>Ремонт кровли</t>
  </si>
  <si>
    <t xml:space="preserve">ул. Кирова </t>
  </si>
  <si>
    <t>д. 30</t>
  </si>
  <si>
    <t>Ед.изм.</t>
  </si>
  <si>
    <t>м</t>
  </si>
  <si>
    <t>шт.</t>
  </si>
  <si>
    <t>Смена патронов</t>
  </si>
  <si>
    <t>шт</t>
  </si>
  <si>
    <t>1000 м3</t>
  </si>
  <si>
    <t>ул. Кирова</t>
  </si>
  <si>
    <t>т</t>
  </si>
  <si>
    <t>д.30</t>
  </si>
  <si>
    <r>
      <t>м</t>
    </r>
    <r>
      <rPr>
        <vertAlign val="superscript"/>
        <sz val="10"/>
        <rFont val="Arial"/>
        <family val="2"/>
      </rPr>
      <t>2</t>
    </r>
  </si>
  <si>
    <t>д. 32</t>
  </si>
  <si>
    <t>д.32</t>
  </si>
  <si>
    <t>д. 34</t>
  </si>
  <si>
    <t>д. 36</t>
  </si>
  <si>
    <t>д. 38</t>
  </si>
  <si>
    <t>д. 40</t>
  </si>
  <si>
    <t>д.40</t>
  </si>
  <si>
    <t>д. 42</t>
  </si>
  <si>
    <r>
      <t>м</t>
    </r>
    <r>
      <rPr>
        <vertAlign val="superscript"/>
        <sz val="10"/>
        <rFont val="Arial"/>
        <family val="0"/>
      </rPr>
      <t>2</t>
    </r>
  </si>
  <si>
    <t>д. 43</t>
  </si>
  <si>
    <t>д. 44</t>
  </si>
  <si>
    <r>
      <t>м</t>
    </r>
    <r>
      <rPr>
        <vertAlign val="superscript"/>
        <sz val="10"/>
        <rFont val="Arial"/>
        <family val="2"/>
      </rPr>
      <t>3</t>
    </r>
  </si>
  <si>
    <t>д.43</t>
  </si>
  <si>
    <t>д.44</t>
  </si>
  <si>
    <t>д. 45</t>
  </si>
  <si>
    <t>д.45</t>
  </si>
  <si>
    <t>д. 46</t>
  </si>
  <si>
    <t>д.46</t>
  </si>
  <si>
    <t>д. 47</t>
  </si>
  <si>
    <t>д. 49</t>
  </si>
  <si>
    <t>д. 51</t>
  </si>
  <si>
    <t>д. 53</t>
  </si>
  <si>
    <t>д. 55</t>
  </si>
  <si>
    <t>д. 57</t>
  </si>
  <si>
    <t>Окраска поверхностей</t>
  </si>
  <si>
    <t>д.59</t>
  </si>
  <si>
    <t>д. 59</t>
  </si>
  <si>
    <t>д. 61</t>
  </si>
  <si>
    <t>д. 63</t>
  </si>
  <si>
    <t>д. 61а</t>
  </si>
  <si>
    <t>д.63</t>
  </si>
  <si>
    <t>ул. Мейпариани</t>
  </si>
  <si>
    <t>д. 15а</t>
  </si>
  <si>
    <t>д. 18</t>
  </si>
  <si>
    <t>д. 20</t>
  </si>
  <si>
    <t>д. 21</t>
  </si>
  <si>
    <t>д. 22</t>
  </si>
  <si>
    <t>д. 24</t>
  </si>
  <si>
    <t>д. 26</t>
  </si>
  <si>
    <t>д. 28</t>
  </si>
  <si>
    <t>пер. Мейпариани</t>
  </si>
  <si>
    <t>д. 1</t>
  </si>
  <si>
    <t>д. 3</t>
  </si>
  <si>
    <t>д. 2</t>
  </si>
  <si>
    <t>д. 5</t>
  </si>
  <si>
    <t>ул. 60 лет Октября</t>
  </si>
  <si>
    <t>д. 20а</t>
  </si>
  <si>
    <t>пр. Горького</t>
  </si>
  <si>
    <t xml:space="preserve">пр. Горького </t>
  </si>
  <si>
    <t>д.1</t>
  </si>
  <si>
    <t>д.2</t>
  </si>
  <si>
    <t>д. 4</t>
  </si>
  <si>
    <t>д.4</t>
  </si>
  <si>
    <t>д.5</t>
  </si>
  <si>
    <t>д. 6</t>
  </si>
  <si>
    <t>д. 7</t>
  </si>
  <si>
    <t>д. 8</t>
  </si>
  <si>
    <t>д.8</t>
  </si>
  <si>
    <t>д. 8а</t>
  </si>
  <si>
    <t>д.8а</t>
  </si>
  <si>
    <t>д. 9</t>
  </si>
  <si>
    <t>д.9</t>
  </si>
  <si>
    <t>д.10</t>
  </si>
  <si>
    <t>д.11</t>
  </si>
  <si>
    <t>д. 10</t>
  </si>
  <si>
    <t>д. 11</t>
  </si>
  <si>
    <t>д. 12</t>
  </si>
  <si>
    <t>д.12</t>
  </si>
  <si>
    <t>д. 13</t>
  </si>
  <si>
    <t>д. 14</t>
  </si>
  <si>
    <t>д.13</t>
  </si>
  <si>
    <t>д. 13а</t>
  </si>
  <si>
    <t>д.13а</t>
  </si>
  <si>
    <t>ул. Горького</t>
  </si>
  <si>
    <t xml:space="preserve">ул. Горького </t>
  </si>
  <si>
    <t>д.14</t>
  </si>
  <si>
    <t>д. 19</t>
  </si>
  <si>
    <t>ул. Куйбышева</t>
  </si>
  <si>
    <t>д. 15</t>
  </si>
  <si>
    <t>д. 17</t>
  </si>
  <si>
    <t>д. 17а</t>
  </si>
  <si>
    <t>д.17а</t>
  </si>
  <si>
    <t>д. 22а</t>
  </si>
  <si>
    <t>д. 25</t>
  </si>
  <si>
    <t>д. 24а</t>
  </si>
  <si>
    <t xml:space="preserve">ул. Куйбышева </t>
  </si>
  <si>
    <t>ул. Свердлова</t>
  </si>
  <si>
    <t>ул.Свердлова</t>
  </si>
  <si>
    <t xml:space="preserve">ул. Свердлова </t>
  </si>
  <si>
    <t>д.7</t>
  </si>
  <si>
    <t>пер. Свердлова</t>
  </si>
  <si>
    <t xml:space="preserve">пер. Свердлова </t>
  </si>
  <si>
    <r>
      <t>м</t>
    </r>
    <r>
      <rPr>
        <vertAlign val="superscript"/>
        <sz val="10"/>
        <rFont val="Arial"/>
        <family val="0"/>
      </rPr>
      <t>3</t>
    </r>
  </si>
  <si>
    <t>ИТОГО:</t>
  </si>
  <si>
    <t>ВСЕГО:</t>
  </si>
  <si>
    <t>Установка светильников</t>
  </si>
  <si>
    <t>Ремонт качелей</t>
  </si>
  <si>
    <t>д.42</t>
  </si>
  <si>
    <t>Устройство забора</t>
  </si>
  <si>
    <t>д.61</t>
  </si>
  <si>
    <t>Заделка отверстий</t>
  </si>
  <si>
    <t>Утепление труб</t>
  </si>
  <si>
    <t>д.6</t>
  </si>
  <si>
    <t>д.15</t>
  </si>
  <si>
    <t>Снятие, промывка, ремонт и установка ППР</t>
  </si>
  <si>
    <t>Очистка от снега и наледи, сбивание сосулек</t>
  </si>
  <si>
    <t>Установка щитов с панелью (для счетчиков)</t>
  </si>
  <si>
    <t>Дезинсекция подвальных помещений</t>
  </si>
  <si>
    <t>Инструментальное обследование системы теплоснабжения</t>
  </si>
  <si>
    <t xml:space="preserve">пер. Мейпариани  </t>
  </si>
  <si>
    <t>Техинвентаризация и паспортизация объектов</t>
  </si>
  <si>
    <t xml:space="preserve">ул. Мейпариани  </t>
  </si>
  <si>
    <t>д.61а</t>
  </si>
  <si>
    <t>Материалы для благоустройства</t>
  </si>
  <si>
    <t>руб.</t>
  </si>
  <si>
    <t>Подсыпка грунта</t>
  </si>
  <si>
    <t>д.19</t>
  </si>
  <si>
    <t>пер.Свердлова</t>
  </si>
  <si>
    <t>д.15а</t>
  </si>
  <si>
    <t>д.34</t>
  </si>
  <si>
    <t>Ремонт крыльца</t>
  </si>
  <si>
    <t>Проектно-сметная документация</t>
  </si>
  <si>
    <t>Устройство и ремонт песочниц</t>
  </si>
  <si>
    <t>Изготовление выбивалок, футбольных ворот</t>
  </si>
  <si>
    <t>д.3</t>
  </si>
  <si>
    <t>д.21</t>
  </si>
  <si>
    <t>шиф</t>
  </si>
  <si>
    <t>мяг</t>
  </si>
  <si>
    <t>1-слой</t>
  </si>
  <si>
    <t>2 слоя</t>
  </si>
  <si>
    <t>Окраска фасада</t>
  </si>
  <si>
    <t xml:space="preserve">пер. Мейпариани </t>
  </si>
  <si>
    <t>Смена выключателей, стабилизаторов, разные работы</t>
  </si>
  <si>
    <t>д.49</t>
  </si>
  <si>
    <t>д.38</t>
  </si>
  <si>
    <t>Асфальтирование</t>
  </si>
  <si>
    <t>Утепление фасада</t>
  </si>
  <si>
    <t>Замена кабеля</t>
  </si>
  <si>
    <t>Установка счетчиков (теплосчетчик)</t>
  </si>
  <si>
    <t>Уборка подвальных помещений</t>
  </si>
  <si>
    <t>д.47</t>
  </si>
  <si>
    <t>д.17</t>
  </si>
  <si>
    <t>за 12 месяцев 2013 года</t>
  </si>
  <si>
    <t>Слив и наполнение системы отопления</t>
  </si>
  <si>
    <t>Замена стояка</t>
  </si>
  <si>
    <t>д.57</t>
  </si>
  <si>
    <t>Чистка и осмотры  дымохода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</si>
</sst>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7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86"/>
  <sheetViews>
    <sheetView tabSelected="1" view="pageBreakPreview" zoomScale="75" zoomScaleSheetLayoutView="75" workbookViewId="0" topLeftCell="A1147">
      <selection activeCell="G1177" sqref="G1177"/>
    </sheetView>
  </sheetViews>
  <sheetFormatPr defaultColWidth="9.140625" defaultRowHeight="12.75"/>
  <cols>
    <col min="1" max="1" width="29.8515625" style="0" customWidth="1"/>
    <col min="2" max="3" width="10.00390625" style="0" customWidth="1"/>
    <col min="4" max="4" width="12.421875" style="0" customWidth="1"/>
    <col min="5" max="5" width="21.140625" style="39" customWidth="1"/>
  </cols>
  <sheetData>
    <row r="3" spans="1:7" ht="15">
      <c r="A3" s="58" t="s">
        <v>0</v>
      </c>
      <c r="B3" s="58"/>
      <c r="C3" s="58"/>
      <c r="D3" s="58"/>
      <c r="E3" s="58"/>
      <c r="F3" s="1"/>
      <c r="G3" s="1"/>
    </row>
    <row r="4" spans="1:7" ht="30.75" customHeight="1">
      <c r="A4" s="59" t="s">
        <v>1</v>
      </c>
      <c r="B4" s="59"/>
      <c r="C4" s="59"/>
      <c r="D4" s="59"/>
      <c r="E4" s="59"/>
      <c r="F4" s="2"/>
      <c r="G4" s="2"/>
    </row>
    <row r="5" spans="1:7" ht="15">
      <c r="A5" s="58" t="s">
        <v>194</v>
      </c>
      <c r="B5" s="58"/>
      <c r="C5" s="58"/>
      <c r="D5" s="58"/>
      <c r="E5" s="58"/>
      <c r="F5" s="1"/>
      <c r="G5" s="1"/>
    </row>
    <row r="6" spans="1:5" ht="39">
      <c r="A6" s="3" t="s">
        <v>2</v>
      </c>
      <c r="B6" s="3" t="s">
        <v>3</v>
      </c>
      <c r="C6" s="3" t="s">
        <v>42</v>
      </c>
      <c r="D6" s="3" t="s">
        <v>4</v>
      </c>
      <c r="E6" s="26" t="s">
        <v>5</v>
      </c>
    </row>
    <row r="7" spans="1:5" ht="22.5" customHeight="1">
      <c r="A7" s="62" t="s">
        <v>6</v>
      </c>
      <c r="B7" s="63"/>
      <c r="C7" s="63"/>
      <c r="D7" s="63"/>
      <c r="E7" s="64"/>
    </row>
    <row r="8" spans="1:5" ht="13.5" customHeight="1">
      <c r="A8" s="45" t="s">
        <v>198</v>
      </c>
      <c r="B8" s="46"/>
      <c r="C8" s="46"/>
      <c r="D8" s="46"/>
      <c r="E8" s="47"/>
    </row>
    <row r="9" spans="1:5" ht="12.75" customHeight="1" hidden="1">
      <c r="A9" s="4" t="s">
        <v>40</v>
      </c>
      <c r="B9" s="6" t="s">
        <v>50</v>
      </c>
      <c r="C9" s="6" t="s">
        <v>43</v>
      </c>
      <c r="D9" s="6"/>
      <c r="E9" s="27"/>
    </row>
    <row r="10" spans="1:5" ht="12.75" customHeight="1" hidden="1">
      <c r="A10" s="4" t="s">
        <v>40</v>
      </c>
      <c r="B10" s="6" t="s">
        <v>53</v>
      </c>
      <c r="C10" s="6" t="s">
        <v>43</v>
      </c>
      <c r="D10" s="6"/>
      <c r="E10" s="27"/>
    </row>
    <row r="11" spans="1:5" ht="12.75">
      <c r="A11" s="4" t="s">
        <v>40</v>
      </c>
      <c r="B11" s="6" t="s">
        <v>64</v>
      </c>
      <c r="C11" s="6" t="s">
        <v>43</v>
      </c>
      <c r="D11" s="6">
        <v>15</v>
      </c>
      <c r="E11" s="27">
        <v>1818.54</v>
      </c>
    </row>
    <row r="12" spans="1:5" ht="12.75">
      <c r="A12" s="4" t="s">
        <v>40</v>
      </c>
      <c r="B12" s="6" t="s">
        <v>197</v>
      </c>
      <c r="C12" s="6" t="s">
        <v>43</v>
      </c>
      <c r="D12" s="6">
        <v>15</v>
      </c>
      <c r="E12" s="27">
        <v>1823</v>
      </c>
    </row>
    <row r="13" spans="1:5" ht="12.75">
      <c r="A13" s="4" t="s">
        <v>40</v>
      </c>
      <c r="B13" s="6" t="s">
        <v>164</v>
      </c>
      <c r="C13" s="6" t="s">
        <v>43</v>
      </c>
      <c r="D13" s="6">
        <v>15</v>
      </c>
      <c r="E13" s="27">
        <v>544.25</v>
      </c>
    </row>
    <row r="14" spans="1:5" ht="12.75" customHeight="1" hidden="1">
      <c r="A14" s="4" t="s">
        <v>83</v>
      </c>
      <c r="B14" s="6" t="s">
        <v>84</v>
      </c>
      <c r="C14" s="6" t="s">
        <v>43</v>
      </c>
      <c r="D14" s="6"/>
      <c r="E14" s="27"/>
    </row>
    <row r="15" spans="1:5" ht="12.75" customHeight="1" hidden="1">
      <c r="A15" s="4" t="s">
        <v>83</v>
      </c>
      <c r="B15" s="13" t="s">
        <v>87</v>
      </c>
      <c r="C15" s="6" t="s">
        <v>43</v>
      </c>
      <c r="D15" s="6"/>
      <c r="E15" s="27"/>
    </row>
    <row r="16" spans="1:5" ht="12.75">
      <c r="A16" s="4" t="s">
        <v>83</v>
      </c>
      <c r="B16" s="13" t="s">
        <v>41</v>
      </c>
      <c r="C16" s="6" t="s">
        <v>43</v>
      </c>
      <c r="D16" s="6">
        <v>15</v>
      </c>
      <c r="E16" s="27">
        <v>1818.54</v>
      </c>
    </row>
    <row r="17" spans="1:5" ht="12.75">
      <c r="A17" s="4" t="s">
        <v>99</v>
      </c>
      <c r="B17" s="13" t="s">
        <v>93</v>
      </c>
      <c r="C17" s="6" t="s">
        <v>43</v>
      </c>
      <c r="D17" s="6">
        <v>15</v>
      </c>
      <c r="E17" s="27">
        <v>528</v>
      </c>
    </row>
    <row r="18" spans="1:5" ht="12.75">
      <c r="A18" s="4" t="s">
        <v>99</v>
      </c>
      <c r="B18" s="8" t="s">
        <v>104</v>
      </c>
      <c r="C18" s="6" t="s">
        <v>43</v>
      </c>
      <c r="D18" s="6">
        <v>15</v>
      </c>
      <c r="E18" s="27">
        <v>491.91</v>
      </c>
    </row>
    <row r="19" spans="1:5" ht="12.75" customHeight="1" hidden="1">
      <c r="A19" s="4" t="s">
        <v>99</v>
      </c>
      <c r="B19" s="8" t="s">
        <v>105</v>
      </c>
      <c r="C19" s="6" t="s">
        <v>43</v>
      </c>
      <c r="D19" s="6"/>
      <c r="E19" s="27"/>
    </row>
    <row r="20" spans="1:5" ht="12.75">
      <c r="A20" s="4" t="s">
        <v>99</v>
      </c>
      <c r="B20" s="8" t="s">
        <v>141</v>
      </c>
      <c r="C20" s="6" t="s">
        <v>43</v>
      </c>
      <c r="D20" s="6">
        <v>30</v>
      </c>
      <c r="E20" s="27">
        <v>983.75</v>
      </c>
    </row>
    <row r="21" spans="1:5" ht="12.75" customHeight="1" hidden="1">
      <c r="A21" s="4" t="s">
        <v>99</v>
      </c>
      <c r="B21" s="8" t="s">
        <v>109</v>
      </c>
      <c r="C21" s="6" t="s">
        <v>43</v>
      </c>
      <c r="D21" s="6"/>
      <c r="E21" s="27"/>
    </row>
    <row r="22" spans="1:5" ht="12.75">
      <c r="A22" s="4" t="s">
        <v>99</v>
      </c>
      <c r="B22" s="8" t="s">
        <v>111</v>
      </c>
      <c r="C22" s="6" t="s">
        <v>43</v>
      </c>
      <c r="D22" s="6">
        <v>15</v>
      </c>
      <c r="E22" s="27">
        <v>1818.54</v>
      </c>
    </row>
    <row r="23" spans="1:5" ht="12.75">
      <c r="A23" s="4" t="s">
        <v>99</v>
      </c>
      <c r="B23" s="8" t="s">
        <v>114</v>
      </c>
      <c r="C23" s="6" t="s">
        <v>43</v>
      </c>
      <c r="D23" s="6">
        <v>15</v>
      </c>
      <c r="E23" s="27">
        <v>23399.25</v>
      </c>
    </row>
    <row r="24" spans="1:5" ht="12.75" customHeight="1">
      <c r="A24" s="4" t="s">
        <v>99</v>
      </c>
      <c r="B24" s="8" t="s">
        <v>115</v>
      </c>
      <c r="C24" s="6" t="s">
        <v>43</v>
      </c>
      <c r="D24" s="6"/>
      <c r="E24" s="27">
        <v>22050</v>
      </c>
    </row>
    <row r="25" spans="1:5" ht="12.75" customHeight="1" hidden="1">
      <c r="A25" s="4" t="s">
        <v>99</v>
      </c>
      <c r="B25" s="8" t="s">
        <v>122</v>
      </c>
      <c r="C25" s="6" t="s">
        <v>43</v>
      </c>
      <c r="D25" s="6"/>
      <c r="E25" s="27"/>
    </row>
    <row r="26" spans="1:5" ht="12.75">
      <c r="A26" s="4" t="s">
        <v>99</v>
      </c>
      <c r="B26" s="8" t="s">
        <v>124</v>
      </c>
      <c r="C26" s="6" t="s">
        <v>43</v>
      </c>
      <c r="D26" s="6">
        <v>15</v>
      </c>
      <c r="E26" s="27">
        <v>491.91</v>
      </c>
    </row>
    <row r="27" spans="1:5" ht="12.75">
      <c r="A27" s="4" t="s">
        <v>125</v>
      </c>
      <c r="B27" s="8" t="s">
        <v>127</v>
      </c>
      <c r="C27" s="6" t="s">
        <v>43</v>
      </c>
      <c r="D27" s="6">
        <v>30</v>
      </c>
      <c r="E27" s="27">
        <v>1694.58</v>
      </c>
    </row>
    <row r="28" spans="1:5" ht="12.75">
      <c r="A28" s="4" t="s">
        <v>129</v>
      </c>
      <c r="B28" s="13" t="s">
        <v>131</v>
      </c>
      <c r="C28" s="6" t="s">
        <v>43</v>
      </c>
      <c r="D28" s="6"/>
      <c r="E28" s="27">
        <v>8575</v>
      </c>
    </row>
    <row r="29" spans="1:5" ht="12.75">
      <c r="A29" s="4" t="s">
        <v>129</v>
      </c>
      <c r="B29" s="13" t="s">
        <v>132</v>
      </c>
      <c r="C29" s="6" t="s">
        <v>43</v>
      </c>
      <c r="D29" s="6">
        <v>15</v>
      </c>
      <c r="E29" s="27">
        <v>523.54</v>
      </c>
    </row>
    <row r="30" spans="1:5" ht="12.75">
      <c r="A30" s="4" t="s">
        <v>129</v>
      </c>
      <c r="B30" s="13" t="s">
        <v>89</v>
      </c>
      <c r="C30" s="6" t="s">
        <v>43</v>
      </c>
      <c r="D30" s="6"/>
      <c r="E30" s="27">
        <v>17150</v>
      </c>
    </row>
    <row r="31" spans="1:5" ht="12.75">
      <c r="A31" s="4" t="s">
        <v>142</v>
      </c>
      <c r="B31" s="13" t="s">
        <v>106</v>
      </c>
      <c r="C31" s="6" t="s">
        <v>43</v>
      </c>
      <c r="D31" s="6">
        <v>15</v>
      </c>
      <c r="E31" s="27">
        <v>1818.54</v>
      </c>
    </row>
    <row r="32" spans="1:5" ht="12.75">
      <c r="A32" s="4" t="s">
        <v>142</v>
      </c>
      <c r="B32" s="13" t="s">
        <v>107</v>
      </c>
      <c r="C32" s="6" t="s">
        <v>43</v>
      </c>
      <c r="D32" s="6">
        <v>15</v>
      </c>
      <c r="E32" s="27">
        <v>1864.16</v>
      </c>
    </row>
    <row r="33" spans="1:5" ht="12.75" hidden="1">
      <c r="A33" s="4"/>
      <c r="B33" s="6"/>
      <c r="C33" s="6"/>
      <c r="D33" s="6"/>
      <c r="E33" s="27"/>
    </row>
    <row r="34" spans="1:5" s="16" customFormat="1" ht="12.75">
      <c r="A34" s="15" t="s">
        <v>145</v>
      </c>
      <c r="B34" s="12"/>
      <c r="C34" s="12"/>
      <c r="D34" s="12"/>
      <c r="E34" s="28">
        <f>SUM(E9:E33)</f>
        <v>87393.51</v>
      </c>
    </row>
    <row r="35" spans="1:5" ht="12.75">
      <c r="A35" s="51" t="s">
        <v>8</v>
      </c>
      <c r="B35" s="52"/>
      <c r="C35" s="52"/>
      <c r="D35" s="52"/>
      <c r="E35" s="53"/>
    </row>
    <row r="36" spans="1:5" ht="12.75">
      <c r="A36" s="54"/>
      <c r="B36" s="55"/>
      <c r="C36" s="55"/>
      <c r="D36" s="55"/>
      <c r="E36" s="56"/>
    </row>
    <row r="37" spans="1:5" ht="15">
      <c r="A37" s="4" t="s">
        <v>40</v>
      </c>
      <c r="B37" s="6" t="s">
        <v>50</v>
      </c>
      <c r="C37" s="6" t="s">
        <v>51</v>
      </c>
      <c r="D37" s="17">
        <f>1.1+15.2</f>
        <v>16.3</v>
      </c>
      <c r="E37" s="27">
        <f>1078.85+6861.76</f>
        <v>7940.610000000001</v>
      </c>
    </row>
    <row r="38" spans="1:5" ht="15">
      <c r="A38" s="4" t="s">
        <v>40</v>
      </c>
      <c r="B38" s="6" t="s">
        <v>186</v>
      </c>
      <c r="C38" s="6" t="s">
        <v>51</v>
      </c>
      <c r="D38" s="17">
        <f>0.45</f>
        <v>0.45</v>
      </c>
      <c r="E38" s="27">
        <f>519</f>
        <v>519</v>
      </c>
    </row>
    <row r="39" spans="1:5" ht="15" hidden="1">
      <c r="A39" s="4" t="s">
        <v>40</v>
      </c>
      <c r="B39" s="6" t="s">
        <v>58</v>
      </c>
      <c r="C39" s="6" t="s">
        <v>51</v>
      </c>
      <c r="D39" s="17"/>
      <c r="E39" s="27"/>
    </row>
    <row r="40" spans="1:5" ht="15">
      <c r="A40" s="4" t="s">
        <v>40</v>
      </c>
      <c r="B40" s="6" t="s">
        <v>149</v>
      </c>
      <c r="C40" s="6" t="s">
        <v>51</v>
      </c>
      <c r="D40" s="17">
        <f>0.5</f>
        <v>0.5</v>
      </c>
      <c r="E40" s="27">
        <f>572</f>
        <v>572</v>
      </c>
    </row>
    <row r="41" spans="1:5" ht="15">
      <c r="A41" s="4" t="s">
        <v>40</v>
      </c>
      <c r="B41" s="6" t="s">
        <v>64</v>
      </c>
      <c r="C41" s="6" t="s">
        <v>51</v>
      </c>
      <c r="D41" s="17">
        <f>8.2+1.8+1.9</f>
        <v>11.9</v>
      </c>
      <c r="E41" s="27">
        <f>5265.86+2087+1999</f>
        <v>9351.86</v>
      </c>
    </row>
    <row r="42" spans="1:5" ht="15">
      <c r="A42" s="4" t="s">
        <v>40</v>
      </c>
      <c r="B42" s="6" t="s">
        <v>65</v>
      </c>
      <c r="C42" s="6" t="s">
        <v>51</v>
      </c>
      <c r="D42" s="8">
        <f>0.62+1.6</f>
        <v>2.22</v>
      </c>
      <c r="E42" s="27">
        <f>870.9+1125</f>
        <v>1995.9</v>
      </c>
    </row>
    <row r="43" spans="1:5" ht="15" hidden="1">
      <c r="A43" s="4" t="s">
        <v>40</v>
      </c>
      <c r="B43" s="6" t="s">
        <v>67</v>
      </c>
      <c r="C43" s="6" t="s">
        <v>51</v>
      </c>
      <c r="D43" s="17"/>
      <c r="E43" s="27"/>
    </row>
    <row r="44" spans="1:5" ht="15">
      <c r="A44" s="4" t="s">
        <v>40</v>
      </c>
      <c r="B44" s="6" t="s">
        <v>69</v>
      </c>
      <c r="C44" s="6" t="s">
        <v>51</v>
      </c>
      <c r="D44" s="17">
        <f>0.9</f>
        <v>0.9</v>
      </c>
      <c r="E44" s="27">
        <f>1046</f>
        <v>1046</v>
      </c>
    </row>
    <row r="45" spans="1:5" ht="15">
      <c r="A45" s="4" t="s">
        <v>40</v>
      </c>
      <c r="B45" s="6" t="s">
        <v>185</v>
      </c>
      <c r="C45" s="6" t="s">
        <v>51</v>
      </c>
      <c r="D45" s="17">
        <f>0.85</f>
        <v>0.85</v>
      </c>
      <c r="E45" s="27">
        <f>993</f>
        <v>993</v>
      </c>
    </row>
    <row r="46" spans="1:5" ht="15">
      <c r="A46" s="4" t="s">
        <v>40</v>
      </c>
      <c r="B46" s="6" t="s">
        <v>77</v>
      </c>
      <c r="C46" s="6" t="s">
        <v>51</v>
      </c>
      <c r="D46" s="17">
        <f>0.2</f>
        <v>0.2</v>
      </c>
      <c r="E46" s="27">
        <f>536.39</f>
        <v>536.39</v>
      </c>
    </row>
    <row r="47" spans="1:5" ht="15">
      <c r="A47" s="4" t="s">
        <v>40</v>
      </c>
      <c r="B47" s="6" t="s">
        <v>151</v>
      </c>
      <c r="C47" s="6" t="s">
        <v>51</v>
      </c>
      <c r="D47" s="17">
        <f>0.9</f>
        <v>0.9</v>
      </c>
      <c r="E47" s="27">
        <f>1046</f>
        <v>1046</v>
      </c>
    </row>
    <row r="48" spans="1:5" ht="15">
      <c r="A48" s="4" t="s">
        <v>40</v>
      </c>
      <c r="B48" s="6" t="s">
        <v>82</v>
      </c>
      <c r="C48" s="6" t="s">
        <v>51</v>
      </c>
      <c r="D48" s="17">
        <f>2.3+1.1</f>
        <v>3.4</v>
      </c>
      <c r="E48" s="27">
        <f>2161+1283</f>
        <v>3444</v>
      </c>
    </row>
    <row r="49" spans="1:5" ht="15">
      <c r="A49" s="4" t="s">
        <v>83</v>
      </c>
      <c r="B49" s="6" t="s">
        <v>84</v>
      </c>
      <c r="C49" s="6" t="s">
        <v>51</v>
      </c>
      <c r="D49" s="17">
        <f>0.6</f>
        <v>0.6</v>
      </c>
      <c r="E49" s="27">
        <f>1090</f>
        <v>1090</v>
      </c>
    </row>
    <row r="50" spans="1:5" ht="15" hidden="1">
      <c r="A50" s="4" t="s">
        <v>83</v>
      </c>
      <c r="B50" s="6" t="s">
        <v>41</v>
      </c>
      <c r="C50" s="6" t="s">
        <v>51</v>
      </c>
      <c r="D50" s="17"/>
      <c r="E50" s="27"/>
    </row>
    <row r="51" spans="1:5" ht="15" hidden="1">
      <c r="A51" s="4" t="s">
        <v>83</v>
      </c>
      <c r="B51" s="6" t="s">
        <v>52</v>
      </c>
      <c r="C51" s="6" t="s">
        <v>51</v>
      </c>
      <c r="D51" s="17"/>
      <c r="E51" s="27"/>
    </row>
    <row r="52" spans="1:5" ht="15">
      <c r="A52" s="4" t="s">
        <v>83</v>
      </c>
      <c r="B52" s="6" t="s">
        <v>54</v>
      </c>
      <c r="C52" s="6" t="s">
        <v>51</v>
      </c>
      <c r="D52" s="17">
        <v>0.6</v>
      </c>
      <c r="E52" s="27">
        <f>859</f>
        <v>859</v>
      </c>
    </row>
    <row r="53" spans="1:5" ht="15">
      <c r="A53" s="4" t="s">
        <v>92</v>
      </c>
      <c r="B53" s="6" t="s">
        <v>93</v>
      </c>
      <c r="C53" s="6" t="s">
        <v>51</v>
      </c>
      <c r="D53" s="17">
        <v>1.3</v>
      </c>
      <c r="E53" s="27">
        <f>1519</f>
        <v>1519</v>
      </c>
    </row>
    <row r="54" spans="1:5" ht="15" hidden="1">
      <c r="A54" s="4" t="s">
        <v>92</v>
      </c>
      <c r="B54" s="6" t="s">
        <v>94</v>
      </c>
      <c r="C54" s="6" t="s">
        <v>51</v>
      </c>
      <c r="D54" s="17"/>
      <c r="E54" s="27"/>
    </row>
    <row r="55" spans="1:5" ht="15">
      <c r="A55" s="4" t="s">
        <v>92</v>
      </c>
      <c r="B55" s="6" t="s">
        <v>96</v>
      </c>
      <c r="C55" s="6" t="s">
        <v>51</v>
      </c>
      <c r="D55" s="17">
        <f>1.6</f>
        <v>1.6</v>
      </c>
      <c r="E55" s="27">
        <f>1883</f>
        <v>1883</v>
      </c>
    </row>
    <row r="56" spans="1:5" ht="15">
      <c r="A56" s="4" t="s">
        <v>99</v>
      </c>
      <c r="B56" s="6" t="s">
        <v>93</v>
      </c>
      <c r="C56" s="6" t="s">
        <v>51</v>
      </c>
      <c r="D56" s="17">
        <f>2.8</f>
        <v>2.8</v>
      </c>
      <c r="E56" s="27">
        <f>1916.73</f>
        <v>1916.73</v>
      </c>
    </row>
    <row r="57" spans="1:5" ht="15">
      <c r="A57" s="4" t="s">
        <v>99</v>
      </c>
      <c r="B57" s="6" t="s">
        <v>95</v>
      </c>
      <c r="C57" s="6" t="s">
        <v>51</v>
      </c>
      <c r="D57" s="17">
        <f>3.9</f>
        <v>3.9</v>
      </c>
      <c r="E57" s="27">
        <v>2619.65</v>
      </c>
    </row>
    <row r="58" spans="1:5" ht="15">
      <c r="A58" s="4" t="s">
        <v>99</v>
      </c>
      <c r="B58" s="6" t="s">
        <v>103</v>
      </c>
      <c r="C58" s="6" t="s">
        <v>51</v>
      </c>
      <c r="D58" s="17">
        <f>6.3</f>
        <v>6.3</v>
      </c>
      <c r="E58" s="27">
        <f>4233.07</f>
        <v>4233.07</v>
      </c>
    </row>
    <row r="59" spans="1:5" ht="15" hidden="1">
      <c r="A59" s="4" t="s">
        <v>99</v>
      </c>
      <c r="B59" s="6" t="s">
        <v>96</v>
      </c>
      <c r="C59" s="6" t="s">
        <v>51</v>
      </c>
      <c r="D59" s="17"/>
      <c r="E59" s="27"/>
    </row>
    <row r="60" spans="1:5" ht="15" hidden="1">
      <c r="A60" s="4" t="s">
        <v>99</v>
      </c>
      <c r="B60" s="6" t="s">
        <v>106</v>
      </c>
      <c r="C60" s="6" t="s">
        <v>51</v>
      </c>
      <c r="D60" s="17"/>
      <c r="E60" s="27"/>
    </row>
    <row r="61" spans="1:5" ht="15">
      <c r="A61" s="4" t="s">
        <v>99</v>
      </c>
      <c r="B61" s="6" t="s">
        <v>107</v>
      </c>
      <c r="C61" s="6" t="s">
        <v>51</v>
      </c>
      <c r="D61" s="17">
        <f>1.4+1.3+3.1</f>
        <v>5.800000000000001</v>
      </c>
      <c r="E61" s="27">
        <f>1653+1519+3034</f>
        <v>6206</v>
      </c>
    </row>
    <row r="62" spans="1:5" ht="15" hidden="1">
      <c r="A62" s="4" t="s">
        <v>99</v>
      </c>
      <c r="B62" s="6" t="s">
        <v>108</v>
      </c>
      <c r="C62" s="6" t="s">
        <v>51</v>
      </c>
      <c r="D62" s="17"/>
      <c r="E62" s="27"/>
    </row>
    <row r="63" spans="1:5" ht="15" hidden="1">
      <c r="A63" s="4" t="s">
        <v>99</v>
      </c>
      <c r="B63" s="6" t="s">
        <v>110</v>
      </c>
      <c r="C63" s="6" t="s">
        <v>51</v>
      </c>
      <c r="D63" s="17"/>
      <c r="E63" s="27"/>
    </row>
    <row r="64" spans="1:5" ht="15">
      <c r="A64" s="4" t="s">
        <v>99</v>
      </c>
      <c r="B64" s="6" t="s">
        <v>112</v>
      </c>
      <c r="C64" s="6" t="s">
        <v>51</v>
      </c>
      <c r="D64" s="17">
        <f>5.1</f>
        <v>5.1</v>
      </c>
      <c r="E64" s="27">
        <f>3426.07</f>
        <v>3426.07</v>
      </c>
    </row>
    <row r="65" spans="1:5" ht="15" hidden="1">
      <c r="A65" s="4" t="s">
        <v>99</v>
      </c>
      <c r="B65" s="6" t="s">
        <v>117</v>
      </c>
      <c r="C65" s="6" t="s">
        <v>51</v>
      </c>
      <c r="D65" s="17"/>
      <c r="E65" s="27"/>
    </row>
    <row r="66" spans="1:5" ht="15">
      <c r="A66" s="4" t="s">
        <v>99</v>
      </c>
      <c r="B66" s="6" t="s">
        <v>118</v>
      </c>
      <c r="C66" s="6" t="s">
        <v>51</v>
      </c>
      <c r="D66" s="17">
        <f>1.1+0.7</f>
        <v>1.8</v>
      </c>
      <c r="E66" s="27">
        <f>1036.13+653</f>
        <v>1689.13</v>
      </c>
    </row>
    <row r="67" spans="1:5" ht="15" hidden="1">
      <c r="A67" s="4" t="s">
        <v>99</v>
      </c>
      <c r="B67" s="6" t="s">
        <v>120</v>
      </c>
      <c r="C67" s="6" t="s">
        <v>51</v>
      </c>
      <c r="D67" s="17"/>
      <c r="E67" s="27"/>
    </row>
    <row r="68" spans="1:5" ht="15" hidden="1">
      <c r="A68" s="4" t="s">
        <v>99</v>
      </c>
      <c r="B68" s="6" t="s">
        <v>123</v>
      </c>
      <c r="C68" s="6" t="s">
        <v>51</v>
      </c>
      <c r="D68" s="17"/>
      <c r="E68" s="27"/>
    </row>
    <row r="69" spans="1:5" ht="15">
      <c r="A69" s="4" t="s">
        <v>125</v>
      </c>
      <c r="B69" s="6" t="s">
        <v>121</v>
      </c>
      <c r="C69" s="6" t="s">
        <v>51</v>
      </c>
      <c r="D69" s="17">
        <f>4.8+0.5</f>
        <v>5.3</v>
      </c>
      <c r="E69" s="27">
        <f>2675.49+572</f>
        <v>3247.49</v>
      </c>
    </row>
    <row r="70" spans="1:5" ht="15">
      <c r="A70" s="4" t="s">
        <v>129</v>
      </c>
      <c r="B70" s="6" t="s">
        <v>130</v>
      </c>
      <c r="C70" s="6" t="s">
        <v>51</v>
      </c>
      <c r="D70" s="17">
        <f>1.7+0.9</f>
        <v>2.6</v>
      </c>
      <c r="E70" s="27">
        <f>1235.44+846.6</f>
        <v>2082.04</v>
      </c>
    </row>
    <row r="71" spans="1:5" ht="15" hidden="1">
      <c r="A71" s="4" t="s">
        <v>129</v>
      </c>
      <c r="B71" s="6" t="s">
        <v>84</v>
      </c>
      <c r="C71" s="6" t="s">
        <v>51</v>
      </c>
      <c r="D71" s="17"/>
      <c r="E71" s="27"/>
    </row>
    <row r="72" spans="1:5" ht="15" hidden="1">
      <c r="A72" s="4" t="s">
        <v>129</v>
      </c>
      <c r="B72" s="6" t="s">
        <v>132</v>
      </c>
      <c r="C72" s="6" t="s">
        <v>51</v>
      </c>
      <c r="D72" s="17"/>
      <c r="E72" s="27"/>
    </row>
    <row r="73" spans="1:5" ht="15" hidden="1">
      <c r="A73" s="4" t="s">
        <v>129</v>
      </c>
      <c r="B73" s="6" t="s">
        <v>88</v>
      </c>
      <c r="C73" s="6" t="s">
        <v>51</v>
      </c>
      <c r="D73" s="17"/>
      <c r="E73" s="27"/>
    </row>
    <row r="74" spans="1:5" ht="15">
      <c r="A74" s="4" t="s">
        <v>129</v>
      </c>
      <c r="B74" s="6" t="s">
        <v>89</v>
      </c>
      <c r="C74" s="6" t="s">
        <v>51</v>
      </c>
      <c r="D74" s="17">
        <f>1.1</f>
        <v>1.1</v>
      </c>
      <c r="E74" s="27">
        <f>1283</f>
        <v>1283</v>
      </c>
    </row>
    <row r="75" spans="1:5" ht="15" hidden="1">
      <c r="A75" s="4" t="s">
        <v>129</v>
      </c>
      <c r="B75" s="6" t="s">
        <v>136</v>
      </c>
      <c r="C75" s="6" t="s">
        <v>51</v>
      </c>
      <c r="D75" s="17"/>
      <c r="E75" s="27"/>
    </row>
    <row r="76" spans="1:5" ht="15">
      <c r="A76" s="4" t="s">
        <v>129</v>
      </c>
      <c r="B76" s="6" t="s">
        <v>135</v>
      </c>
      <c r="C76" s="6" t="s">
        <v>51</v>
      </c>
      <c r="D76" s="17">
        <f>4+0.4+3.1+1.3</f>
        <v>8.8</v>
      </c>
      <c r="E76" s="27">
        <f>1145.97+661+3258+1519</f>
        <v>6583.97</v>
      </c>
    </row>
    <row r="77" spans="1:5" ht="15" hidden="1">
      <c r="A77" s="4" t="s">
        <v>138</v>
      </c>
      <c r="B77" s="6" t="s">
        <v>96</v>
      </c>
      <c r="C77" s="6" t="s">
        <v>51</v>
      </c>
      <c r="D77" s="6"/>
      <c r="E77" s="27"/>
    </row>
    <row r="78" spans="1:5" ht="15">
      <c r="A78" s="4" t="s">
        <v>138</v>
      </c>
      <c r="B78" s="6" t="s">
        <v>108</v>
      </c>
      <c r="C78" s="6" t="s">
        <v>51</v>
      </c>
      <c r="D78" s="6">
        <f>0.9+2</f>
        <v>2.9</v>
      </c>
      <c r="E78" s="27">
        <f>1046+1410</f>
        <v>2456</v>
      </c>
    </row>
    <row r="79" spans="1:5" ht="15" hidden="1">
      <c r="A79" s="4" t="s">
        <v>142</v>
      </c>
      <c r="B79" s="6" t="s">
        <v>93</v>
      </c>
      <c r="C79" s="6" t="s">
        <v>51</v>
      </c>
      <c r="D79" s="6"/>
      <c r="E79" s="27"/>
    </row>
    <row r="80" spans="1:5" ht="15">
      <c r="A80" s="4" t="s">
        <v>142</v>
      </c>
      <c r="B80" s="6" t="s">
        <v>96</v>
      </c>
      <c r="C80" s="6" t="s">
        <v>51</v>
      </c>
      <c r="D80" s="6">
        <f>1.2</f>
        <v>1.2</v>
      </c>
      <c r="E80" s="27">
        <f>1417</f>
        <v>1417</v>
      </c>
    </row>
    <row r="81" spans="1:5" ht="15" customHeight="1">
      <c r="A81" s="4" t="s">
        <v>97</v>
      </c>
      <c r="B81" s="6" t="s">
        <v>86</v>
      </c>
      <c r="C81" s="6" t="s">
        <v>51</v>
      </c>
      <c r="D81" s="6">
        <f>0.2+2.6+2.7</f>
        <v>5.5</v>
      </c>
      <c r="E81" s="27">
        <f>340.91+1573.33+2637</f>
        <v>4551.24</v>
      </c>
    </row>
    <row r="82" spans="1:5" ht="15" hidden="1">
      <c r="A82" s="4" t="s">
        <v>97</v>
      </c>
      <c r="B82" s="6" t="s">
        <v>98</v>
      </c>
      <c r="C82" s="6" t="s">
        <v>51</v>
      </c>
      <c r="D82" s="6"/>
      <c r="E82" s="27"/>
    </row>
    <row r="83" spans="1:5" ht="12.75" hidden="1">
      <c r="A83" s="4"/>
      <c r="B83" s="6"/>
      <c r="C83" s="6"/>
      <c r="D83" s="6"/>
      <c r="E83" s="27"/>
    </row>
    <row r="84" spans="1:5" ht="12.75">
      <c r="A84" s="15" t="s">
        <v>145</v>
      </c>
      <c r="B84" s="6"/>
      <c r="C84" s="6"/>
      <c r="D84" s="6"/>
      <c r="E84" s="28">
        <f>SUM(E37:E83)</f>
        <v>74507.15000000001</v>
      </c>
    </row>
    <row r="85" spans="1:5" ht="12.75" hidden="1">
      <c r="A85" s="45" t="s">
        <v>9</v>
      </c>
      <c r="B85" s="46"/>
      <c r="C85" s="46"/>
      <c r="D85" s="46"/>
      <c r="E85" s="47"/>
    </row>
    <row r="86" spans="1:5" ht="12.75" hidden="1">
      <c r="A86" s="4" t="s">
        <v>99</v>
      </c>
      <c r="B86" s="6" t="s">
        <v>93</v>
      </c>
      <c r="C86" s="6" t="s">
        <v>49</v>
      </c>
      <c r="D86" s="17"/>
      <c r="E86" s="27"/>
    </row>
    <row r="87" spans="1:5" ht="12.75" hidden="1">
      <c r="A87" s="4" t="s">
        <v>40</v>
      </c>
      <c r="B87" s="6" t="s">
        <v>61</v>
      </c>
      <c r="C87" s="6" t="s">
        <v>49</v>
      </c>
      <c r="D87" s="6"/>
      <c r="E87" s="27"/>
    </row>
    <row r="88" spans="1:5" ht="12.75" hidden="1">
      <c r="A88" s="24"/>
      <c r="B88" s="25"/>
      <c r="C88" s="25"/>
      <c r="D88" s="25"/>
      <c r="E88" s="29"/>
    </row>
    <row r="89" spans="1:5" ht="12.75" hidden="1">
      <c r="A89" s="15" t="s">
        <v>145</v>
      </c>
      <c r="B89" s="6"/>
      <c r="C89" s="6"/>
      <c r="D89" s="6"/>
      <c r="E89" s="28">
        <f>SUM(E86:E88)</f>
        <v>0</v>
      </c>
    </row>
    <row r="90" spans="1:5" ht="12.75" hidden="1">
      <c r="A90" s="4"/>
      <c r="B90" s="5"/>
      <c r="C90" s="5"/>
      <c r="D90" s="5"/>
      <c r="E90" s="27"/>
    </row>
    <row r="91" spans="1:5" ht="26.25" customHeight="1">
      <c r="A91" s="45" t="s">
        <v>10</v>
      </c>
      <c r="B91" s="46"/>
      <c r="C91" s="46"/>
      <c r="D91" s="46"/>
      <c r="E91" s="47"/>
    </row>
    <row r="92" spans="1:5" ht="12.75" hidden="1">
      <c r="A92" s="4" t="s">
        <v>137</v>
      </c>
      <c r="B92" s="6" t="s">
        <v>136</v>
      </c>
      <c r="C92" s="6" t="s">
        <v>43</v>
      </c>
      <c r="D92" s="5"/>
      <c r="E92" s="27"/>
    </row>
    <row r="93" spans="1:5" ht="12.75">
      <c r="A93" s="4" t="s">
        <v>138</v>
      </c>
      <c r="B93" s="6" t="s">
        <v>106</v>
      </c>
      <c r="C93" s="6" t="s">
        <v>43</v>
      </c>
      <c r="D93" s="6">
        <v>12</v>
      </c>
      <c r="E93" s="27">
        <v>5336.94</v>
      </c>
    </row>
    <row r="94" spans="1:5" ht="12.75">
      <c r="A94" s="4" t="s">
        <v>126</v>
      </c>
      <c r="B94" s="6" t="s">
        <v>93</v>
      </c>
      <c r="C94" s="6" t="s">
        <v>43</v>
      </c>
      <c r="D94" s="6">
        <v>8</v>
      </c>
      <c r="E94" s="27">
        <f>1956.24</f>
        <v>1956.24</v>
      </c>
    </row>
    <row r="95" spans="1:5" ht="12.75">
      <c r="A95" s="4" t="s">
        <v>83</v>
      </c>
      <c r="B95" s="6" t="s">
        <v>54</v>
      </c>
      <c r="C95" s="6" t="s">
        <v>43</v>
      </c>
      <c r="D95" s="6">
        <v>5</v>
      </c>
      <c r="E95" s="27">
        <f>1269.82</f>
        <v>1269.82</v>
      </c>
    </row>
    <row r="96" spans="1:5" ht="12.75">
      <c r="A96" s="15" t="s">
        <v>145</v>
      </c>
      <c r="B96" s="6"/>
      <c r="C96" s="6"/>
      <c r="D96" s="5"/>
      <c r="E96" s="28">
        <f>SUM(E92:E95)</f>
        <v>8563</v>
      </c>
    </row>
    <row r="97" spans="1:5" ht="27.75" customHeight="1">
      <c r="A97" s="45" t="s">
        <v>76</v>
      </c>
      <c r="B97" s="46"/>
      <c r="C97" s="46"/>
      <c r="D97" s="46"/>
      <c r="E97" s="47"/>
    </row>
    <row r="98" spans="1:5" ht="15">
      <c r="A98" s="4" t="s">
        <v>126</v>
      </c>
      <c r="B98" s="6" t="s">
        <v>127</v>
      </c>
      <c r="C98" s="6" t="s">
        <v>51</v>
      </c>
      <c r="D98" s="6">
        <v>2.06</v>
      </c>
      <c r="E98" s="27">
        <v>443.91</v>
      </c>
    </row>
    <row r="99" spans="1:5" ht="15">
      <c r="A99" s="4" t="s">
        <v>92</v>
      </c>
      <c r="B99" s="6" t="s">
        <v>101</v>
      </c>
      <c r="C99" s="6" t="s">
        <v>51</v>
      </c>
      <c r="D99" s="6">
        <v>2.06</v>
      </c>
      <c r="E99" s="27">
        <v>443.91</v>
      </c>
    </row>
    <row r="100" spans="1:5" ht="15">
      <c r="A100" s="4" t="s">
        <v>40</v>
      </c>
      <c r="B100" s="6" t="s">
        <v>149</v>
      </c>
      <c r="C100" s="6" t="s">
        <v>51</v>
      </c>
      <c r="D100" s="6">
        <v>2.06</v>
      </c>
      <c r="E100" s="27">
        <v>443.91</v>
      </c>
    </row>
    <row r="101" spans="1:5" ht="15">
      <c r="A101" s="4" t="s">
        <v>40</v>
      </c>
      <c r="B101" s="6" t="s">
        <v>65</v>
      </c>
      <c r="C101" s="6" t="s">
        <v>51</v>
      </c>
      <c r="D101" s="6">
        <v>2.06</v>
      </c>
      <c r="E101" s="27">
        <v>443.91</v>
      </c>
    </row>
    <row r="102" spans="1:5" ht="15">
      <c r="A102" s="4" t="s">
        <v>40</v>
      </c>
      <c r="B102" s="6" t="s">
        <v>69</v>
      </c>
      <c r="C102" s="6" t="s">
        <v>51</v>
      </c>
      <c r="D102" s="6">
        <v>2.06</v>
      </c>
      <c r="E102" s="27">
        <v>443.91</v>
      </c>
    </row>
    <row r="103" spans="1:5" ht="15">
      <c r="A103" s="4" t="s">
        <v>40</v>
      </c>
      <c r="B103" s="6" t="s">
        <v>164</v>
      </c>
      <c r="C103" s="6" t="s">
        <v>51</v>
      </c>
      <c r="D103" s="6">
        <v>2.06</v>
      </c>
      <c r="E103" s="27">
        <v>443.91</v>
      </c>
    </row>
    <row r="104" spans="1:5" ht="15">
      <c r="A104" s="4" t="s">
        <v>40</v>
      </c>
      <c r="B104" s="6" t="s">
        <v>82</v>
      </c>
      <c r="C104" s="6" t="s">
        <v>51</v>
      </c>
      <c r="D104" s="6">
        <v>2.06</v>
      </c>
      <c r="E104" s="27">
        <v>443.91</v>
      </c>
    </row>
    <row r="105" spans="1:5" ht="15">
      <c r="A105" s="4" t="s">
        <v>137</v>
      </c>
      <c r="B105" s="6" t="s">
        <v>155</v>
      </c>
      <c r="C105" s="6" t="s">
        <v>51</v>
      </c>
      <c r="D105" s="6">
        <v>2.06</v>
      </c>
      <c r="E105" s="27">
        <v>443.91</v>
      </c>
    </row>
    <row r="106" spans="1:5" ht="15">
      <c r="A106" s="4" t="s">
        <v>137</v>
      </c>
      <c r="B106" s="6" t="s">
        <v>193</v>
      </c>
      <c r="C106" s="6" t="s">
        <v>51</v>
      </c>
      <c r="D106" s="6">
        <f>1</f>
        <v>1</v>
      </c>
      <c r="E106" s="27">
        <f>97</f>
        <v>97</v>
      </c>
    </row>
    <row r="107" spans="1:5" ht="15">
      <c r="A107" s="4" t="s">
        <v>137</v>
      </c>
      <c r="B107" s="6" t="s">
        <v>133</v>
      </c>
      <c r="C107" s="6" t="s">
        <v>51</v>
      </c>
      <c r="D107" s="6">
        <v>2.06</v>
      </c>
      <c r="E107" s="27">
        <v>443.91</v>
      </c>
    </row>
    <row r="108" spans="1:5" ht="15">
      <c r="A108" s="4" t="s">
        <v>83</v>
      </c>
      <c r="B108" s="6" t="s">
        <v>170</v>
      </c>
      <c r="C108" s="6" t="s">
        <v>51</v>
      </c>
      <c r="D108" s="6">
        <v>2.06</v>
      </c>
      <c r="E108" s="27">
        <v>443.91</v>
      </c>
    </row>
    <row r="109" spans="1:5" ht="15">
      <c r="A109" s="4" t="s">
        <v>83</v>
      </c>
      <c r="B109" s="6" t="s">
        <v>50</v>
      </c>
      <c r="C109" s="6" t="s">
        <v>51</v>
      </c>
      <c r="D109" s="6">
        <v>2.06</v>
      </c>
      <c r="E109" s="27">
        <v>443.91</v>
      </c>
    </row>
    <row r="110" spans="1:5" ht="15">
      <c r="A110" s="4" t="s">
        <v>83</v>
      </c>
      <c r="B110" s="6" t="s">
        <v>171</v>
      </c>
      <c r="C110" s="6" t="s">
        <v>51</v>
      </c>
      <c r="D110" s="6">
        <v>2.06</v>
      </c>
      <c r="E110" s="27">
        <v>443.91</v>
      </c>
    </row>
    <row r="111" spans="1:5" ht="15">
      <c r="A111" s="4" t="s">
        <v>138</v>
      </c>
      <c r="B111" s="6" t="s">
        <v>109</v>
      </c>
      <c r="C111" s="6" t="s">
        <v>51</v>
      </c>
      <c r="D111" s="6">
        <v>2.06</v>
      </c>
      <c r="E111" s="27">
        <v>443.91</v>
      </c>
    </row>
    <row r="112" spans="1:5" ht="12.75">
      <c r="A112" s="15" t="s">
        <v>145</v>
      </c>
      <c r="B112" s="6"/>
      <c r="C112" s="6"/>
      <c r="D112" s="6"/>
      <c r="E112" s="28">
        <f>SUM(E98:E111)</f>
        <v>5867.829999999999</v>
      </c>
    </row>
    <row r="113" spans="1:5" ht="27.75" customHeight="1" hidden="1">
      <c r="A113" s="45" t="s">
        <v>11</v>
      </c>
      <c r="B113" s="46"/>
      <c r="C113" s="46"/>
      <c r="D113" s="46"/>
      <c r="E113" s="47"/>
    </row>
    <row r="114" spans="1:5" ht="12.75" hidden="1">
      <c r="A114" s="4"/>
      <c r="B114" s="5"/>
      <c r="C114" s="5"/>
      <c r="D114" s="5"/>
      <c r="E114" s="27"/>
    </row>
    <row r="115" spans="1:5" ht="12.75">
      <c r="A115" s="45" t="s">
        <v>12</v>
      </c>
      <c r="B115" s="46"/>
      <c r="C115" s="46"/>
      <c r="D115" s="46"/>
      <c r="E115" s="47"/>
    </row>
    <row r="116" spans="1:5" ht="15">
      <c r="A116" s="4" t="s">
        <v>48</v>
      </c>
      <c r="B116" s="6" t="s">
        <v>59</v>
      </c>
      <c r="C116" s="6" t="s">
        <v>51</v>
      </c>
      <c r="D116" s="6">
        <v>1</v>
      </c>
      <c r="E116" s="27">
        <v>444.08</v>
      </c>
    </row>
    <row r="117" spans="1:5" ht="15">
      <c r="A117" s="4" t="s">
        <v>48</v>
      </c>
      <c r="B117" s="6" t="s">
        <v>62</v>
      </c>
      <c r="C117" s="6" t="s">
        <v>51</v>
      </c>
      <c r="D117" s="6">
        <v>1</v>
      </c>
      <c r="E117" s="27">
        <v>677.92</v>
      </c>
    </row>
    <row r="118" spans="1:5" ht="15">
      <c r="A118" s="4" t="s">
        <v>83</v>
      </c>
      <c r="B118" s="8" t="s">
        <v>52</v>
      </c>
      <c r="C118" s="6" t="s">
        <v>51</v>
      </c>
      <c r="D118" s="6">
        <v>1.5</v>
      </c>
      <c r="E118" s="30">
        <v>222.9</v>
      </c>
    </row>
    <row r="119" spans="1:5" ht="15">
      <c r="A119" s="4" t="s">
        <v>137</v>
      </c>
      <c r="B119" s="8" t="s">
        <v>130</v>
      </c>
      <c r="C119" s="6" t="s">
        <v>51</v>
      </c>
      <c r="D119" s="6">
        <v>4.5</v>
      </c>
      <c r="E119" s="30">
        <v>658.37</v>
      </c>
    </row>
    <row r="120" spans="1:5" ht="12.75">
      <c r="A120" s="15" t="s">
        <v>145</v>
      </c>
      <c r="B120" s="8"/>
      <c r="C120" s="8"/>
      <c r="D120" s="8"/>
      <c r="E120" s="31">
        <f>SUM(E116:E119)</f>
        <v>2003.27</v>
      </c>
    </row>
    <row r="121" spans="1:5" ht="13.5" customHeight="1">
      <c r="A121" s="45" t="s">
        <v>13</v>
      </c>
      <c r="B121" s="46"/>
      <c r="C121" s="46"/>
      <c r="D121" s="46"/>
      <c r="E121" s="47"/>
    </row>
    <row r="122" spans="1:5" ht="12.75" hidden="1">
      <c r="A122" s="4" t="s">
        <v>48</v>
      </c>
      <c r="B122" s="6" t="s">
        <v>41</v>
      </c>
      <c r="C122" s="6" t="s">
        <v>49</v>
      </c>
      <c r="D122" s="6"/>
      <c r="E122" s="27"/>
    </row>
    <row r="123" spans="1:5" ht="12.75" hidden="1">
      <c r="A123" s="4" t="s">
        <v>48</v>
      </c>
      <c r="B123" s="6" t="s">
        <v>61</v>
      </c>
      <c r="C123" s="6" t="s">
        <v>49</v>
      </c>
      <c r="D123" s="6"/>
      <c r="E123" s="27"/>
    </row>
    <row r="124" spans="1:5" ht="12.75">
      <c r="A124" s="4" t="s">
        <v>48</v>
      </c>
      <c r="B124" s="6" t="s">
        <v>68</v>
      </c>
      <c r="C124" s="6" t="s">
        <v>43</v>
      </c>
      <c r="D124" s="6">
        <v>6</v>
      </c>
      <c r="E124" s="27">
        <v>792.95</v>
      </c>
    </row>
    <row r="125" spans="1:5" ht="12.75">
      <c r="A125" s="4" t="s">
        <v>99</v>
      </c>
      <c r="B125" s="6" t="s">
        <v>109</v>
      </c>
      <c r="C125" s="6" t="s">
        <v>49</v>
      </c>
      <c r="D125" s="6">
        <v>0.04</v>
      </c>
      <c r="E125" s="27">
        <f>4313</f>
        <v>4313</v>
      </c>
    </row>
    <row r="126" spans="1:5" ht="12.75" hidden="1">
      <c r="A126" s="4" t="s">
        <v>137</v>
      </c>
      <c r="B126" s="6" t="s">
        <v>88</v>
      </c>
      <c r="C126" s="6" t="s">
        <v>49</v>
      </c>
      <c r="D126" s="6"/>
      <c r="E126" s="27"/>
    </row>
    <row r="127" spans="1:5" ht="12.75" hidden="1">
      <c r="A127" s="4" t="s">
        <v>137</v>
      </c>
      <c r="B127" s="6" t="s">
        <v>91</v>
      </c>
      <c r="C127" s="6" t="s">
        <v>49</v>
      </c>
      <c r="D127" s="6"/>
      <c r="E127" s="27"/>
    </row>
    <row r="128" spans="1:5" ht="12.75">
      <c r="A128" s="15" t="s">
        <v>145</v>
      </c>
      <c r="B128" s="6"/>
      <c r="C128" s="6"/>
      <c r="D128" s="6"/>
      <c r="E128" s="28">
        <f>SUM(E122:E127)</f>
        <v>5105.95</v>
      </c>
    </row>
    <row r="129" spans="1:5" ht="12.75">
      <c r="A129" s="45" t="s">
        <v>18</v>
      </c>
      <c r="B129" s="46"/>
      <c r="C129" s="46"/>
      <c r="D129" s="46"/>
      <c r="E129" s="47"/>
    </row>
    <row r="130" spans="1:5" ht="15">
      <c r="A130" s="4" t="s">
        <v>48</v>
      </c>
      <c r="B130" s="6" t="s">
        <v>59</v>
      </c>
      <c r="C130" s="6" t="s">
        <v>51</v>
      </c>
      <c r="D130" s="6">
        <v>2.5</v>
      </c>
      <c r="E130" s="27">
        <v>2160.84</v>
      </c>
    </row>
    <row r="131" spans="1:5" ht="15">
      <c r="A131" s="4" t="s">
        <v>48</v>
      </c>
      <c r="B131" s="6" t="s">
        <v>75</v>
      </c>
      <c r="C131" s="6" t="s">
        <v>51</v>
      </c>
      <c r="D131" s="6">
        <v>1.4</v>
      </c>
      <c r="E131" s="27">
        <v>2715.37</v>
      </c>
    </row>
    <row r="132" spans="1:5" ht="15" hidden="1">
      <c r="A132" s="4" t="s">
        <v>83</v>
      </c>
      <c r="B132" s="6" t="s">
        <v>84</v>
      </c>
      <c r="C132" s="6" t="s">
        <v>51</v>
      </c>
      <c r="D132" s="6"/>
      <c r="E132" s="27"/>
    </row>
    <row r="133" spans="1:5" ht="15" hidden="1">
      <c r="A133" s="4" t="s">
        <v>83</v>
      </c>
      <c r="B133" s="6" t="s">
        <v>87</v>
      </c>
      <c r="C133" s="6" t="s">
        <v>51</v>
      </c>
      <c r="D133" s="6"/>
      <c r="E133" s="27"/>
    </row>
    <row r="134" spans="1:6" ht="15">
      <c r="A134" s="4" t="s">
        <v>83</v>
      </c>
      <c r="B134" s="6" t="s">
        <v>90</v>
      </c>
      <c r="C134" s="9" t="s">
        <v>60</v>
      </c>
      <c r="D134" s="6">
        <v>2.5</v>
      </c>
      <c r="E134" s="32">
        <f>591.77</f>
        <v>591.77</v>
      </c>
      <c r="F134" t="s">
        <v>178</v>
      </c>
    </row>
    <row r="135" spans="1:5" ht="15" hidden="1">
      <c r="A135" s="4" t="s">
        <v>83</v>
      </c>
      <c r="B135" s="6" t="s">
        <v>52</v>
      </c>
      <c r="C135" s="9" t="s">
        <v>60</v>
      </c>
      <c r="D135" s="6"/>
      <c r="E135" s="32"/>
    </row>
    <row r="136" spans="1:5" ht="15">
      <c r="A136" s="4" t="s">
        <v>137</v>
      </c>
      <c r="B136" s="6" t="s">
        <v>130</v>
      </c>
      <c r="C136" s="9" t="s">
        <v>60</v>
      </c>
      <c r="D136" s="6">
        <f>2.5</f>
        <v>2.5</v>
      </c>
      <c r="E136" s="32">
        <f>863</f>
        <v>863</v>
      </c>
    </row>
    <row r="137" spans="1:5" ht="15" hidden="1">
      <c r="A137" s="4" t="s">
        <v>137</v>
      </c>
      <c r="B137" s="6" t="s">
        <v>132</v>
      </c>
      <c r="C137" s="9" t="s">
        <v>60</v>
      </c>
      <c r="D137" s="6"/>
      <c r="E137" s="32"/>
    </row>
    <row r="138" spans="1:5" ht="15">
      <c r="A138" s="4" t="s">
        <v>137</v>
      </c>
      <c r="B138" s="6" t="s">
        <v>89</v>
      </c>
      <c r="C138" s="9" t="s">
        <v>60</v>
      </c>
      <c r="D138" s="6">
        <v>2.2</v>
      </c>
      <c r="E138" s="32">
        <v>4821.85</v>
      </c>
    </row>
    <row r="139" spans="1:5" ht="15">
      <c r="A139" s="4" t="s">
        <v>137</v>
      </c>
      <c r="B139" s="6" t="s">
        <v>136</v>
      </c>
      <c r="C139" s="9" t="s">
        <v>60</v>
      </c>
      <c r="D139" s="6">
        <f>5.1+2.5</f>
        <v>7.6</v>
      </c>
      <c r="E139" s="32">
        <f>8671+935</f>
        <v>9606</v>
      </c>
    </row>
    <row r="140" spans="1:5" ht="15" hidden="1">
      <c r="A140" s="4" t="s">
        <v>142</v>
      </c>
      <c r="B140" s="6" t="s">
        <v>107</v>
      </c>
      <c r="C140" s="9" t="s">
        <v>60</v>
      </c>
      <c r="D140" s="6"/>
      <c r="E140" s="32"/>
    </row>
    <row r="141" spans="1:5" ht="15">
      <c r="A141" s="4" t="s">
        <v>126</v>
      </c>
      <c r="B141" s="6" t="s">
        <v>121</v>
      </c>
      <c r="C141" s="9" t="s">
        <v>60</v>
      </c>
      <c r="D141" s="6">
        <f>2.5+2.5</f>
        <v>5</v>
      </c>
      <c r="E141" s="27">
        <f>863+1377</f>
        <v>2240</v>
      </c>
    </row>
    <row r="142" spans="1:5" ht="15">
      <c r="A142" s="4" t="s">
        <v>100</v>
      </c>
      <c r="B142" s="6" t="s">
        <v>96</v>
      </c>
      <c r="C142" s="9" t="s">
        <v>60</v>
      </c>
      <c r="D142" s="6">
        <v>2.5</v>
      </c>
      <c r="E142" s="27">
        <f>1269</f>
        <v>1269</v>
      </c>
    </row>
    <row r="143" spans="1:5" ht="12.75">
      <c r="A143" s="15" t="s">
        <v>145</v>
      </c>
      <c r="B143" s="5"/>
      <c r="C143" s="5"/>
      <c r="D143" s="5"/>
      <c r="E143" s="28">
        <f>SUM(E130:E142)</f>
        <v>24267.83</v>
      </c>
    </row>
    <row r="144" spans="1:5" ht="12.75">
      <c r="A144" s="45" t="s">
        <v>14</v>
      </c>
      <c r="B144" s="46"/>
      <c r="C144" s="46"/>
      <c r="D144" s="46"/>
      <c r="E144" s="47"/>
    </row>
    <row r="145" spans="1:5" ht="15" hidden="1">
      <c r="A145" s="4" t="s">
        <v>97</v>
      </c>
      <c r="B145" s="3" t="s">
        <v>86</v>
      </c>
      <c r="C145" s="9" t="s">
        <v>60</v>
      </c>
      <c r="D145" s="3"/>
      <c r="E145" s="33"/>
    </row>
    <row r="146" spans="1:5" ht="15" hidden="1">
      <c r="A146" s="4" t="s">
        <v>40</v>
      </c>
      <c r="B146" s="3" t="s">
        <v>81</v>
      </c>
      <c r="C146" s="9" t="s">
        <v>60</v>
      </c>
      <c r="D146" s="3"/>
      <c r="E146" s="33"/>
    </row>
    <row r="147" spans="1:5" ht="15">
      <c r="A147" s="4" t="s">
        <v>126</v>
      </c>
      <c r="B147" s="3" t="s">
        <v>121</v>
      </c>
      <c r="C147" s="9" t="s">
        <v>60</v>
      </c>
      <c r="D147" s="3">
        <v>1.5</v>
      </c>
      <c r="E147" s="33">
        <v>2318.45</v>
      </c>
    </row>
    <row r="148" spans="1:5" ht="15">
      <c r="A148" s="4" t="s">
        <v>100</v>
      </c>
      <c r="B148" s="3" t="s">
        <v>103</v>
      </c>
      <c r="C148" s="9" t="s">
        <v>60</v>
      </c>
      <c r="D148" s="3">
        <v>7.5</v>
      </c>
      <c r="E148" s="33">
        <v>6892.78</v>
      </c>
    </row>
    <row r="149" spans="1:5" ht="15">
      <c r="A149" s="4" t="s">
        <v>100</v>
      </c>
      <c r="B149" s="3" t="s">
        <v>112</v>
      </c>
      <c r="C149" s="9" t="s">
        <v>60</v>
      </c>
      <c r="D149" s="3">
        <v>3.5</v>
      </c>
      <c r="E149" s="33">
        <v>2285.29</v>
      </c>
    </row>
    <row r="150" spans="1:5" ht="12.75">
      <c r="A150" s="4"/>
      <c r="B150" s="3"/>
      <c r="C150" s="9"/>
      <c r="D150" s="3"/>
      <c r="E150" s="33"/>
    </row>
    <row r="151" spans="1:5" ht="12.75">
      <c r="A151" s="15" t="s">
        <v>145</v>
      </c>
      <c r="B151" s="5"/>
      <c r="C151" s="5"/>
      <c r="D151" s="5"/>
      <c r="E151" s="28">
        <f>SUM(E145:E150)</f>
        <v>11496.52</v>
      </c>
    </row>
    <row r="152" spans="1:5" ht="12.75">
      <c r="A152" s="45" t="s">
        <v>15</v>
      </c>
      <c r="B152" s="46"/>
      <c r="C152" s="46"/>
      <c r="D152" s="46"/>
      <c r="E152" s="47"/>
    </row>
    <row r="153" spans="1:5" ht="12.75" hidden="1">
      <c r="A153" s="4" t="s">
        <v>40</v>
      </c>
      <c r="B153" s="6" t="s">
        <v>56</v>
      </c>
      <c r="C153" s="6" t="s">
        <v>44</v>
      </c>
      <c r="D153" s="6"/>
      <c r="E153" s="27"/>
    </row>
    <row r="154" spans="1:5" ht="12.75" hidden="1">
      <c r="A154" s="4" t="s">
        <v>40</v>
      </c>
      <c r="B154" s="6" t="s">
        <v>61</v>
      </c>
      <c r="C154" s="6" t="s">
        <v>44</v>
      </c>
      <c r="D154" s="6"/>
      <c r="E154" s="30"/>
    </row>
    <row r="155" spans="1:5" ht="12.75" hidden="1">
      <c r="A155" s="4" t="s">
        <v>40</v>
      </c>
      <c r="B155" s="6" t="s">
        <v>66</v>
      </c>
      <c r="C155" s="6" t="s">
        <v>44</v>
      </c>
      <c r="D155" s="6"/>
      <c r="E155" s="27"/>
    </row>
    <row r="156" spans="1:5" ht="12.75" hidden="1">
      <c r="A156" s="4" t="s">
        <v>40</v>
      </c>
      <c r="B156" s="6" t="s">
        <v>68</v>
      </c>
      <c r="C156" s="6" t="s">
        <v>44</v>
      </c>
      <c r="D156" s="6"/>
      <c r="E156" s="27"/>
    </row>
    <row r="157" spans="1:5" ht="12.75" hidden="1">
      <c r="A157" s="4" t="s">
        <v>40</v>
      </c>
      <c r="B157" s="6" t="s">
        <v>70</v>
      </c>
      <c r="C157" s="6" t="s">
        <v>44</v>
      </c>
      <c r="D157" s="6"/>
      <c r="E157" s="27"/>
    </row>
    <row r="158" spans="1:5" ht="12.75" hidden="1">
      <c r="A158" s="4" t="s">
        <v>40</v>
      </c>
      <c r="B158" s="6" t="s">
        <v>75</v>
      </c>
      <c r="C158" s="6" t="s">
        <v>44</v>
      </c>
      <c r="D158" s="6"/>
      <c r="E158" s="27"/>
    </row>
    <row r="159" spans="1:5" ht="12.75">
      <c r="A159" s="4" t="s">
        <v>83</v>
      </c>
      <c r="B159" s="6" t="s">
        <v>88</v>
      </c>
      <c r="C159" s="6" t="s">
        <v>44</v>
      </c>
      <c r="D159" s="6">
        <v>1</v>
      </c>
      <c r="E159" s="27">
        <v>52313.27</v>
      </c>
    </row>
    <row r="160" spans="1:5" ht="12.75" hidden="1">
      <c r="A160" s="4" t="s">
        <v>83</v>
      </c>
      <c r="B160" s="6" t="s">
        <v>41</v>
      </c>
      <c r="C160" s="6" t="s">
        <v>44</v>
      </c>
      <c r="D160" s="6"/>
      <c r="E160" s="27"/>
    </row>
    <row r="161" spans="1:5" ht="12.75">
      <c r="A161" s="4" t="s">
        <v>83</v>
      </c>
      <c r="B161" s="6" t="s">
        <v>52</v>
      </c>
      <c r="C161" s="6" t="s">
        <v>44</v>
      </c>
      <c r="D161" s="6">
        <v>1</v>
      </c>
      <c r="E161" s="27">
        <v>107685.77</v>
      </c>
    </row>
    <row r="162" spans="1:5" ht="12.75" hidden="1">
      <c r="A162" s="4" t="s">
        <v>92</v>
      </c>
      <c r="B162" s="6" t="s">
        <v>93</v>
      </c>
      <c r="C162" s="6" t="s">
        <v>44</v>
      </c>
      <c r="D162" s="6"/>
      <c r="E162" s="27"/>
    </row>
    <row r="163" spans="1:5" ht="12.75" hidden="1">
      <c r="A163" s="4" t="s">
        <v>99</v>
      </c>
      <c r="B163" s="6" t="s">
        <v>101</v>
      </c>
      <c r="C163" s="6" t="s">
        <v>44</v>
      </c>
      <c r="D163" s="6"/>
      <c r="E163" s="27"/>
    </row>
    <row r="164" spans="1:5" ht="12.75">
      <c r="A164" s="4" t="s">
        <v>99</v>
      </c>
      <c r="B164" s="6" t="s">
        <v>102</v>
      </c>
      <c r="C164" s="6" t="s">
        <v>44</v>
      </c>
      <c r="D164" s="6">
        <v>1</v>
      </c>
      <c r="E164" s="27">
        <v>113749.51</v>
      </c>
    </row>
    <row r="165" spans="1:5" ht="12.75">
      <c r="A165" s="4" t="s">
        <v>99</v>
      </c>
      <c r="B165" s="6" t="s">
        <v>105</v>
      </c>
      <c r="C165" s="6" t="s">
        <v>44</v>
      </c>
      <c r="D165" s="6">
        <v>1</v>
      </c>
      <c r="E165" s="27">
        <f>105436</f>
        <v>105436</v>
      </c>
    </row>
    <row r="166" spans="1:5" ht="12.75">
      <c r="A166" s="4" t="s">
        <v>99</v>
      </c>
      <c r="B166" s="6" t="s">
        <v>154</v>
      </c>
      <c r="C166" s="6" t="s">
        <v>44</v>
      </c>
      <c r="D166" s="6">
        <v>1</v>
      </c>
      <c r="E166" s="27">
        <f>101489</f>
        <v>101489</v>
      </c>
    </row>
    <row r="167" spans="1:5" ht="12.75">
      <c r="A167" s="4" t="s">
        <v>99</v>
      </c>
      <c r="B167" s="6" t="s">
        <v>141</v>
      </c>
      <c r="C167" s="6" t="s">
        <v>44</v>
      </c>
      <c r="D167" s="6">
        <v>1</v>
      </c>
      <c r="E167" s="27">
        <f>85689.18</f>
        <v>85689.18</v>
      </c>
    </row>
    <row r="168" spans="1:5" ht="12.75">
      <c r="A168" s="4" t="s">
        <v>99</v>
      </c>
      <c r="B168" s="6" t="s">
        <v>109</v>
      </c>
      <c r="C168" s="6" t="s">
        <v>44</v>
      </c>
      <c r="D168" s="6">
        <v>1</v>
      </c>
      <c r="E168" s="27">
        <v>87427.47</v>
      </c>
    </row>
    <row r="169" spans="1:5" ht="12.75">
      <c r="A169" s="4" t="s">
        <v>99</v>
      </c>
      <c r="B169" s="6" t="s">
        <v>111</v>
      </c>
      <c r="C169" s="6" t="s">
        <v>44</v>
      </c>
      <c r="D169" s="6">
        <v>1</v>
      </c>
      <c r="E169" s="27">
        <v>125170.5</v>
      </c>
    </row>
    <row r="170" spans="1:5" ht="12.75" hidden="1">
      <c r="A170" s="4" t="s">
        <v>99</v>
      </c>
      <c r="B170" s="6" t="s">
        <v>114</v>
      </c>
      <c r="C170" s="6" t="s">
        <v>44</v>
      </c>
      <c r="D170" s="6"/>
      <c r="E170" s="27"/>
    </row>
    <row r="171" spans="1:5" ht="12.75">
      <c r="A171" s="4" t="s">
        <v>99</v>
      </c>
      <c r="B171" s="6" t="s">
        <v>119</v>
      </c>
      <c r="C171" s="6" t="s">
        <v>44</v>
      </c>
      <c r="D171" s="6">
        <f>1</f>
        <v>1</v>
      </c>
      <c r="E171" s="27">
        <f>85713.52</f>
        <v>85713.52</v>
      </c>
    </row>
    <row r="172" spans="1:5" ht="12.75" hidden="1">
      <c r="A172" s="4" t="s">
        <v>99</v>
      </c>
      <c r="B172" s="6" t="s">
        <v>122</v>
      </c>
      <c r="C172" s="6" t="s">
        <v>44</v>
      </c>
      <c r="D172" s="6"/>
      <c r="E172" s="27"/>
    </row>
    <row r="173" spans="1:5" ht="12.75">
      <c r="A173" s="4" t="s">
        <v>129</v>
      </c>
      <c r="B173" s="6" t="s">
        <v>155</v>
      </c>
      <c r="C173" s="6" t="s">
        <v>44</v>
      </c>
      <c r="D173" s="6">
        <f>1+1+1+1</f>
        <v>4</v>
      </c>
      <c r="E173" s="27">
        <f>97442.56+83597+94836.15+97209.4</f>
        <v>373085.11</v>
      </c>
    </row>
    <row r="174" spans="1:5" ht="12.75" hidden="1">
      <c r="A174" s="4" t="s">
        <v>129</v>
      </c>
      <c r="B174" s="6" t="s">
        <v>133</v>
      </c>
      <c r="C174" s="6" t="s">
        <v>44</v>
      </c>
      <c r="D174" s="6"/>
      <c r="E174" s="27"/>
    </row>
    <row r="175" spans="1:5" ht="12.75" hidden="1">
      <c r="A175" s="4" t="s">
        <v>129</v>
      </c>
      <c r="B175" s="6" t="s">
        <v>87</v>
      </c>
      <c r="C175" s="6" t="s">
        <v>44</v>
      </c>
      <c r="D175" s="6"/>
      <c r="E175" s="27"/>
    </row>
    <row r="176" spans="1:5" ht="12.75">
      <c r="A176" s="4" t="s">
        <v>129</v>
      </c>
      <c r="B176" s="6" t="s">
        <v>88</v>
      </c>
      <c r="C176" s="6" t="s">
        <v>44</v>
      </c>
      <c r="D176" s="6">
        <v>1</v>
      </c>
      <c r="E176" s="27">
        <v>92998.42</v>
      </c>
    </row>
    <row r="177" spans="1:5" ht="12.75" hidden="1">
      <c r="A177" s="4" t="s">
        <v>129</v>
      </c>
      <c r="B177" s="6" t="s">
        <v>134</v>
      </c>
      <c r="C177" s="6" t="s">
        <v>44</v>
      </c>
      <c r="D177" s="6"/>
      <c r="E177" s="27"/>
    </row>
    <row r="178" spans="1:5" ht="12.75" hidden="1">
      <c r="A178" s="4" t="s">
        <v>138</v>
      </c>
      <c r="B178" s="6" t="s">
        <v>93</v>
      </c>
      <c r="C178" s="6" t="s">
        <v>44</v>
      </c>
      <c r="D178" s="6"/>
      <c r="E178" s="27"/>
    </row>
    <row r="179" spans="1:5" ht="12.75" hidden="1">
      <c r="A179" s="4" t="s">
        <v>138</v>
      </c>
      <c r="B179" s="6" t="s">
        <v>94</v>
      </c>
      <c r="C179" s="6" t="s">
        <v>44</v>
      </c>
      <c r="D179" s="6"/>
      <c r="E179" s="27"/>
    </row>
    <row r="180" spans="1:5" ht="12.75">
      <c r="A180" s="4" t="s">
        <v>142</v>
      </c>
      <c r="B180" s="6" t="s">
        <v>93</v>
      </c>
      <c r="C180" s="6" t="s">
        <v>44</v>
      </c>
      <c r="D180" s="6">
        <v>1</v>
      </c>
      <c r="E180" s="27">
        <v>43779.82</v>
      </c>
    </row>
    <row r="181" spans="1:5" ht="12.75">
      <c r="A181" s="4" t="s">
        <v>142</v>
      </c>
      <c r="B181" s="6" t="s">
        <v>120</v>
      </c>
      <c r="C181" s="6" t="s">
        <v>44</v>
      </c>
      <c r="D181" s="6">
        <v>1</v>
      </c>
      <c r="E181" s="27">
        <v>43815.36</v>
      </c>
    </row>
    <row r="182" spans="1:5" ht="12.75" hidden="1">
      <c r="A182" s="4"/>
      <c r="B182" s="6"/>
      <c r="C182" s="6"/>
      <c r="D182" s="6"/>
      <c r="E182" s="27"/>
    </row>
    <row r="183" spans="1:5" ht="12.75" hidden="1">
      <c r="A183" s="4"/>
      <c r="B183" s="6"/>
      <c r="C183" s="6"/>
      <c r="D183" s="6"/>
      <c r="E183" s="27"/>
    </row>
    <row r="184" spans="1:5" ht="12.75" hidden="1">
      <c r="A184" s="4"/>
      <c r="B184" s="6"/>
      <c r="C184" s="6"/>
      <c r="D184" s="6"/>
      <c r="E184" s="27"/>
    </row>
    <row r="185" spans="1:5" ht="12.75" hidden="1">
      <c r="A185" s="4"/>
      <c r="B185" s="6"/>
      <c r="C185" s="6"/>
      <c r="D185" s="6"/>
      <c r="E185" s="27"/>
    </row>
    <row r="186" spans="1:5" ht="12.75" hidden="1">
      <c r="A186" s="4"/>
      <c r="B186" s="6"/>
      <c r="C186" s="6"/>
      <c r="D186" s="6"/>
      <c r="E186" s="27"/>
    </row>
    <row r="187" spans="1:5" ht="12.75">
      <c r="A187" s="15" t="s">
        <v>145</v>
      </c>
      <c r="B187" s="6"/>
      <c r="C187" s="6"/>
      <c r="D187" s="6"/>
      <c r="E187" s="28">
        <f>SUM(E153:E186)</f>
        <v>1418352.9300000002</v>
      </c>
    </row>
    <row r="188" spans="1:5" ht="12.75">
      <c r="A188" s="45" t="s">
        <v>16</v>
      </c>
      <c r="B188" s="46"/>
      <c r="C188" s="46"/>
      <c r="D188" s="46"/>
      <c r="E188" s="47"/>
    </row>
    <row r="189" spans="1:5" ht="12.75">
      <c r="A189" s="4" t="s">
        <v>48</v>
      </c>
      <c r="B189" s="6" t="s">
        <v>41</v>
      </c>
      <c r="C189" s="6" t="s">
        <v>44</v>
      </c>
      <c r="D189" s="6">
        <v>1</v>
      </c>
      <c r="E189" s="27">
        <v>430.25</v>
      </c>
    </row>
    <row r="190" spans="1:5" ht="12.75">
      <c r="A190" s="4" t="s">
        <v>48</v>
      </c>
      <c r="B190" s="6" t="s">
        <v>59</v>
      </c>
      <c r="C190" s="6" t="s">
        <v>44</v>
      </c>
      <c r="D190" s="6">
        <v>1</v>
      </c>
      <c r="E190" s="27">
        <v>430.25</v>
      </c>
    </row>
    <row r="191" spans="1:5" ht="12.75">
      <c r="A191" s="4" t="s">
        <v>48</v>
      </c>
      <c r="B191" s="6" t="s">
        <v>61</v>
      </c>
      <c r="C191" s="6" t="s">
        <v>44</v>
      </c>
      <c r="D191" s="6">
        <f>1</f>
        <v>1</v>
      </c>
      <c r="E191" s="27">
        <f>480.91</f>
        <v>480.91</v>
      </c>
    </row>
    <row r="192" spans="1:5" ht="12.75">
      <c r="A192" s="4" t="s">
        <v>48</v>
      </c>
      <c r="B192" s="6" t="s">
        <v>62</v>
      </c>
      <c r="C192" s="6" t="s">
        <v>44</v>
      </c>
      <c r="D192" s="6">
        <f>1+1</f>
        <v>2</v>
      </c>
      <c r="E192" s="27">
        <f>430.25+2202.49</f>
        <v>2632.74</v>
      </c>
    </row>
    <row r="193" spans="1:5" ht="12.75">
      <c r="A193" s="4" t="s">
        <v>48</v>
      </c>
      <c r="B193" s="6" t="s">
        <v>66</v>
      </c>
      <c r="C193" s="6" t="s">
        <v>44</v>
      </c>
      <c r="D193" s="6">
        <f>1</f>
        <v>1</v>
      </c>
      <c r="E193" s="27">
        <f>458</f>
        <v>458</v>
      </c>
    </row>
    <row r="194" spans="1:5" ht="12.75" hidden="1">
      <c r="A194" s="4" t="s">
        <v>48</v>
      </c>
      <c r="B194" s="6" t="s">
        <v>75</v>
      </c>
      <c r="C194" s="6" t="s">
        <v>44</v>
      </c>
      <c r="D194" s="6"/>
      <c r="E194" s="27"/>
    </row>
    <row r="195" spans="1:5" ht="12.75">
      <c r="A195" s="4" t="s">
        <v>48</v>
      </c>
      <c r="B195" s="6" t="s">
        <v>79</v>
      </c>
      <c r="C195" s="6" t="s">
        <v>44</v>
      </c>
      <c r="D195" s="6">
        <v>1</v>
      </c>
      <c r="E195" s="27">
        <f>3229.63</f>
        <v>3229.63</v>
      </c>
    </row>
    <row r="196" spans="1:5" ht="12.75">
      <c r="A196" s="4" t="s">
        <v>48</v>
      </c>
      <c r="B196" s="6" t="s">
        <v>81</v>
      </c>
      <c r="C196" s="6" t="s">
        <v>44</v>
      </c>
      <c r="D196" s="6">
        <v>1</v>
      </c>
      <c r="E196" s="27">
        <v>4179.73</v>
      </c>
    </row>
    <row r="197" spans="1:5" s="21" customFormat="1" ht="12.75">
      <c r="A197" s="20" t="s">
        <v>83</v>
      </c>
      <c r="B197" s="19" t="s">
        <v>84</v>
      </c>
      <c r="C197" s="19" t="s">
        <v>44</v>
      </c>
      <c r="D197" s="19">
        <f>1</f>
        <v>1</v>
      </c>
      <c r="E197" s="32">
        <f>582</f>
        <v>582</v>
      </c>
    </row>
    <row r="198" spans="1:5" ht="12.75" hidden="1">
      <c r="A198" s="4" t="s">
        <v>83</v>
      </c>
      <c r="B198" s="6" t="s">
        <v>87</v>
      </c>
      <c r="C198" s="6" t="s">
        <v>44</v>
      </c>
      <c r="D198" s="6"/>
      <c r="E198" s="27"/>
    </row>
    <row r="199" spans="1:5" ht="12.75">
      <c r="A199" s="4" t="s">
        <v>83</v>
      </c>
      <c r="B199" s="6" t="s">
        <v>41</v>
      </c>
      <c r="C199" s="6" t="s">
        <v>44</v>
      </c>
      <c r="D199" s="6">
        <v>1</v>
      </c>
      <c r="E199" s="27">
        <f>489.32</f>
        <v>489.32</v>
      </c>
    </row>
    <row r="200" spans="1:5" ht="12.75">
      <c r="A200" s="4" t="s">
        <v>83</v>
      </c>
      <c r="B200" s="6" t="s">
        <v>52</v>
      </c>
      <c r="C200" s="6" t="s">
        <v>44</v>
      </c>
      <c r="D200" s="6">
        <f>1+1+2+1+1</f>
        <v>6</v>
      </c>
      <c r="E200" s="27">
        <f>3316.31+945+734+582+458</f>
        <v>6035.3099999999995</v>
      </c>
    </row>
    <row r="201" spans="1:5" ht="12.75">
      <c r="A201" s="4" t="s">
        <v>83</v>
      </c>
      <c r="B201" s="6" t="s">
        <v>54</v>
      </c>
      <c r="C201" s="6" t="s">
        <v>44</v>
      </c>
      <c r="D201" s="6">
        <v>1</v>
      </c>
      <c r="E201" s="27">
        <f>489.32</f>
        <v>489.32</v>
      </c>
    </row>
    <row r="202" spans="1:5" ht="12.75">
      <c r="A202" s="4" t="s">
        <v>92</v>
      </c>
      <c r="B202" s="6" t="s">
        <v>94</v>
      </c>
      <c r="C202" s="6" t="s">
        <v>44</v>
      </c>
      <c r="D202" s="6">
        <f>1+1+1</f>
        <v>3</v>
      </c>
      <c r="E202" s="27">
        <f>662.28+982.92+480.91</f>
        <v>2126.1099999999997</v>
      </c>
    </row>
    <row r="203" spans="1:5" ht="12.75">
      <c r="A203" s="4" t="s">
        <v>99</v>
      </c>
      <c r="B203" s="6" t="s">
        <v>105</v>
      </c>
      <c r="C203" s="6" t="s">
        <v>44</v>
      </c>
      <c r="D203" s="6">
        <f>1+1</f>
        <v>2</v>
      </c>
      <c r="E203" s="27">
        <f>1076+467.08</f>
        <v>1543.08</v>
      </c>
    </row>
    <row r="204" spans="1:5" ht="12.75" hidden="1">
      <c r="A204" s="4" t="s">
        <v>99</v>
      </c>
      <c r="B204" s="6" t="s">
        <v>154</v>
      </c>
      <c r="C204" s="6" t="s">
        <v>44</v>
      </c>
      <c r="D204" s="6"/>
      <c r="E204" s="27"/>
    </row>
    <row r="205" spans="1:5" ht="12.75">
      <c r="A205" s="4" t="s">
        <v>99</v>
      </c>
      <c r="B205" s="6" t="s">
        <v>109</v>
      </c>
      <c r="C205" s="6" t="s">
        <v>44</v>
      </c>
      <c r="D205" s="6">
        <v>1</v>
      </c>
      <c r="E205" s="27">
        <f>150</f>
        <v>150</v>
      </c>
    </row>
    <row r="206" spans="1:5" ht="12.75">
      <c r="A206" s="4" t="s">
        <v>99</v>
      </c>
      <c r="B206" s="6" t="s">
        <v>111</v>
      </c>
      <c r="C206" s="6" t="s">
        <v>44</v>
      </c>
      <c r="D206" s="6">
        <f>1+1</f>
        <v>2</v>
      </c>
      <c r="E206" s="27">
        <f>2634.69+582</f>
        <v>3216.69</v>
      </c>
    </row>
    <row r="207" spans="1:5" ht="12.75">
      <c r="A207" s="4" t="s">
        <v>99</v>
      </c>
      <c r="B207" s="6" t="s">
        <v>114</v>
      </c>
      <c r="C207" s="6" t="s">
        <v>44</v>
      </c>
      <c r="D207" s="6">
        <f>1</f>
        <v>1</v>
      </c>
      <c r="E207" s="27">
        <f>662.28</f>
        <v>662.28</v>
      </c>
    </row>
    <row r="208" spans="1:5" ht="12.75">
      <c r="A208" s="4" t="s">
        <v>99</v>
      </c>
      <c r="B208" s="6" t="s">
        <v>115</v>
      </c>
      <c r="C208" s="6" t="s">
        <v>44</v>
      </c>
      <c r="D208" s="6">
        <f>1</f>
        <v>1</v>
      </c>
      <c r="E208" s="27">
        <f>472</f>
        <v>472</v>
      </c>
    </row>
    <row r="209" spans="1:5" ht="12.75" hidden="1">
      <c r="A209" s="4" t="s">
        <v>99</v>
      </c>
      <c r="B209" s="6" t="s">
        <v>119</v>
      </c>
      <c r="C209" s="6" t="s">
        <v>44</v>
      </c>
      <c r="D209" s="6"/>
      <c r="E209" s="27"/>
    </row>
    <row r="210" spans="1:5" ht="12.75">
      <c r="A210" s="4" t="s">
        <v>99</v>
      </c>
      <c r="B210" s="6" t="s">
        <v>122</v>
      </c>
      <c r="C210" s="6" t="s">
        <v>44</v>
      </c>
      <c r="D210" s="6">
        <v>1</v>
      </c>
      <c r="E210" s="27">
        <v>430.25</v>
      </c>
    </row>
    <row r="211" spans="1:5" ht="12.75">
      <c r="A211" s="4" t="s">
        <v>99</v>
      </c>
      <c r="B211" s="6" t="s">
        <v>124</v>
      </c>
      <c r="C211" s="6" t="s">
        <v>44</v>
      </c>
      <c r="D211" s="6">
        <f>1+1</f>
        <v>2</v>
      </c>
      <c r="E211" s="27">
        <f>2822.18+480.91</f>
        <v>3303.0899999999997</v>
      </c>
    </row>
    <row r="212" spans="1:5" ht="12.75" hidden="1">
      <c r="A212" s="4" t="s">
        <v>125</v>
      </c>
      <c r="B212" s="6" t="s">
        <v>127</v>
      </c>
      <c r="C212" s="6" t="s">
        <v>44</v>
      </c>
      <c r="D212" s="6"/>
      <c r="E212" s="27"/>
    </row>
    <row r="213" spans="1:5" ht="12.75" hidden="1">
      <c r="A213" s="4" t="s">
        <v>129</v>
      </c>
      <c r="B213" s="6" t="s">
        <v>130</v>
      </c>
      <c r="C213" s="6" t="s">
        <v>44</v>
      </c>
      <c r="D213" s="6"/>
      <c r="E213" s="27"/>
    </row>
    <row r="214" spans="1:5" ht="12.75">
      <c r="A214" s="4" t="s">
        <v>129</v>
      </c>
      <c r="B214" s="6" t="s">
        <v>84</v>
      </c>
      <c r="C214" s="6" t="s">
        <v>44</v>
      </c>
      <c r="D214" s="6">
        <f>1+1</f>
        <v>2</v>
      </c>
      <c r="E214" s="27">
        <f>489.32+480.91</f>
        <v>970.23</v>
      </c>
    </row>
    <row r="215" spans="1:5" ht="12.75">
      <c r="A215" s="4" t="s">
        <v>129</v>
      </c>
      <c r="B215" s="6" t="s">
        <v>131</v>
      </c>
      <c r="C215" s="6" t="s">
        <v>44</v>
      </c>
      <c r="D215" s="6">
        <v>8</v>
      </c>
      <c r="E215" s="27">
        <v>28755</v>
      </c>
    </row>
    <row r="216" spans="1:5" ht="12.75" hidden="1">
      <c r="A216" s="4" t="s">
        <v>129</v>
      </c>
      <c r="B216" s="6" t="s">
        <v>132</v>
      </c>
      <c r="C216" s="6" t="s">
        <v>44</v>
      </c>
      <c r="D216" s="6"/>
      <c r="E216" s="27"/>
    </row>
    <row r="217" spans="1:5" ht="12.75">
      <c r="A217" s="4" t="s">
        <v>129</v>
      </c>
      <c r="B217" s="6" t="s">
        <v>87</v>
      </c>
      <c r="C217" s="6" t="s">
        <v>44</v>
      </c>
      <c r="D217" s="6">
        <v>1</v>
      </c>
      <c r="E217" s="27">
        <f>308</f>
        <v>308</v>
      </c>
    </row>
    <row r="218" spans="1:5" ht="12.75" hidden="1">
      <c r="A218" s="4" t="s">
        <v>129</v>
      </c>
      <c r="B218" s="6" t="s">
        <v>88</v>
      </c>
      <c r="C218" s="6" t="s">
        <v>44</v>
      </c>
      <c r="D218" s="6"/>
      <c r="E218" s="27"/>
    </row>
    <row r="219" spans="1:5" ht="12.75">
      <c r="A219" s="4" t="s">
        <v>129</v>
      </c>
      <c r="B219" s="6" t="s">
        <v>89</v>
      </c>
      <c r="C219" s="6" t="s">
        <v>44</v>
      </c>
      <c r="D219" s="6">
        <f>1+1</f>
        <v>2</v>
      </c>
      <c r="E219" s="27">
        <f>1592.78+696.32</f>
        <v>2289.1</v>
      </c>
    </row>
    <row r="220" spans="1:5" ht="12.75">
      <c r="A220" s="4" t="s">
        <v>129</v>
      </c>
      <c r="B220" s="6" t="s">
        <v>135</v>
      </c>
      <c r="C220" s="6" t="s">
        <v>44</v>
      </c>
      <c r="D220" s="6">
        <f>1+1+1+3</f>
        <v>6</v>
      </c>
      <c r="E220" s="27">
        <f>1258.41+489.32+660+5976</f>
        <v>8383.73</v>
      </c>
    </row>
    <row r="221" spans="1:5" ht="12.75">
      <c r="A221" s="4" t="s">
        <v>129</v>
      </c>
      <c r="B221" s="6" t="s">
        <v>91</v>
      </c>
      <c r="C221" s="6" t="s">
        <v>44</v>
      </c>
      <c r="D221" s="6">
        <f>1+1</f>
        <v>2</v>
      </c>
      <c r="E221" s="27">
        <f>489.32+1965.64</f>
        <v>2454.96</v>
      </c>
    </row>
    <row r="222" spans="1:5" ht="12.75" hidden="1">
      <c r="A222" s="4" t="s">
        <v>138</v>
      </c>
      <c r="B222" s="6" t="s">
        <v>93</v>
      </c>
      <c r="C222" s="6" t="s">
        <v>44</v>
      </c>
      <c r="D222" s="6"/>
      <c r="E222" s="27"/>
    </row>
    <row r="223" spans="1:5" ht="12.75" hidden="1">
      <c r="A223" s="4" t="s">
        <v>138</v>
      </c>
      <c r="B223" s="6" t="s">
        <v>94</v>
      </c>
      <c r="C223" s="6" t="s">
        <v>44</v>
      </c>
      <c r="D223" s="6"/>
      <c r="E223" s="27"/>
    </row>
    <row r="224" spans="1:5" ht="12.75">
      <c r="A224" s="4" t="s">
        <v>138</v>
      </c>
      <c r="B224" s="6" t="s">
        <v>108</v>
      </c>
      <c r="C224" s="6" t="s">
        <v>44</v>
      </c>
      <c r="D224" s="6">
        <f>1+1+1</f>
        <v>3</v>
      </c>
      <c r="E224" s="27">
        <f>430.25+1552.04+582</f>
        <v>2564.29</v>
      </c>
    </row>
    <row r="225" spans="1:5" ht="12.75" hidden="1">
      <c r="A225" s="4" t="s">
        <v>142</v>
      </c>
      <c r="B225" s="6" t="s">
        <v>96</v>
      </c>
      <c r="C225" s="6" t="s">
        <v>44</v>
      </c>
      <c r="D225" s="6"/>
      <c r="E225" s="27"/>
    </row>
    <row r="226" spans="1:5" ht="12.75" hidden="1">
      <c r="A226" s="4" t="s">
        <v>142</v>
      </c>
      <c r="B226" s="6" t="s">
        <v>106</v>
      </c>
      <c r="C226" s="6" t="s">
        <v>44</v>
      </c>
      <c r="D226" s="6"/>
      <c r="E226" s="27"/>
    </row>
    <row r="227" spans="1:5" ht="12.75">
      <c r="A227" s="4" t="s">
        <v>142</v>
      </c>
      <c r="B227" s="6" t="s">
        <v>107</v>
      </c>
      <c r="C227" s="6" t="s">
        <v>44</v>
      </c>
      <c r="D227" s="6">
        <v>1</v>
      </c>
      <c r="E227" s="27">
        <v>480.91</v>
      </c>
    </row>
    <row r="228" spans="1:5" ht="12.75" hidden="1">
      <c r="A228" s="4" t="s">
        <v>142</v>
      </c>
      <c r="B228" s="6" t="s">
        <v>122</v>
      </c>
      <c r="C228" s="6" t="s">
        <v>44</v>
      </c>
      <c r="D228" s="6"/>
      <c r="E228" s="27"/>
    </row>
    <row r="229" spans="1:5" ht="12.75" hidden="1">
      <c r="A229" s="4" t="s">
        <v>97</v>
      </c>
      <c r="B229" s="6" t="s">
        <v>86</v>
      </c>
      <c r="C229" s="6" t="s">
        <v>44</v>
      </c>
      <c r="D229" s="6"/>
      <c r="E229" s="27"/>
    </row>
    <row r="230" spans="1:5" ht="12.75">
      <c r="A230" s="4" t="s">
        <v>97</v>
      </c>
      <c r="B230" s="6" t="s">
        <v>98</v>
      </c>
      <c r="C230" s="6" t="s">
        <v>44</v>
      </c>
      <c r="D230" s="6">
        <f>1+1</f>
        <v>2</v>
      </c>
      <c r="E230" s="27">
        <f>467.08+1300</f>
        <v>1767.08</v>
      </c>
    </row>
    <row r="231" spans="1:5" ht="12.75" hidden="1">
      <c r="A231" s="4"/>
      <c r="B231" s="6"/>
      <c r="C231" s="6"/>
      <c r="D231" s="6"/>
      <c r="E231" s="27"/>
    </row>
    <row r="232" spans="1:5" ht="12.75" hidden="1">
      <c r="A232" s="4"/>
      <c r="B232" s="6"/>
      <c r="C232" s="6"/>
      <c r="D232" s="6"/>
      <c r="E232" s="27"/>
    </row>
    <row r="233" spans="1:5" ht="12.75" hidden="1">
      <c r="A233" s="4"/>
      <c r="B233" s="6"/>
      <c r="C233" s="6"/>
      <c r="D233" s="6"/>
      <c r="E233" s="27"/>
    </row>
    <row r="234" spans="1:5" ht="12.75" hidden="1">
      <c r="A234" s="4"/>
      <c r="B234" s="6"/>
      <c r="C234" s="6"/>
      <c r="D234" s="6"/>
      <c r="E234" s="27"/>
    </row>
    <row r="235" spans="1:5" ht="12.75" hidden="1">
      <c r="A235" s="4"/>
      <c r="B235" s="6"/>
      <c r="C235" s="6"/>
      <c r="D235" s="6"/>
      <c r="E235" s="27"/>
    </row>
    <row r="236" spans="1:5" ht="12.75" hidden="1">
      <c r="A236" s="4"/>
      <c r="B236" s="6"/>
      <c r="C236" s="6"/>
      <c r="D236" s="6"/>
      <c r="E236" s="27"/>
    </row>
    <row r="237" spans="1:5" ht="12.75">
      <c r="A237" s="15" t="s">
        <v>145</v>
      </c>
      <c r="B237" s="6"/>
      <c r="C237" s="6"/>
      <c r="D237" s="6"/>
      <c r="E237" s="28">
        <f>SUM(E189:E236)</f>
        <v>79314.26000000001</v>
      </c>
    </row>
    <row r="238" spans="1:5" ht="12.75">
      <c r="A238" s="45" t="s">
        <v>17</v>
      </c>
      <c r="B238" s="46"/>
      <c r="C238" s="46"/>
      <c r="D238" s="46"/>
      <c r="E238" s="47"/>
    </row>
    <row r="239" spans="1:5" ht="12.75" hidden="1">
      <c r="A239" s="4" t="s">
        <v>40</v>
      </c>
      <c r="B239" s="6" t="s">
        <v>59</v>
      </c>
      <c r="C239" s="6" t="s">
        <v>44</v>
      </c>
      <c r="D239" s="6"/>
      <c r="E239" s="27"/>
    </row>
    <row r="240" spans="1:5" ht="12.75" hidden="1">
      <c r="A240" s="4" t="s">
        <v>40</v>
      </c>
      <c r="B240" s="6" t="s">
        <v>61</v>
      </c>
      <c r="C240" s="6" t="s">
        <v>44</v>
      </c>
      <c r="D240" s="6"/>
      <c r="E240" s="27"/>
    </row>
    <row r="241" spans="1:5" ht="12.75" hidden="1">
      <c r="A241" s="4" t="s">
        <v>40</v>
      </c>
      <c r="B241" s="6" t="s">
        <v>62</v>
      </c>
      <c r="C241" s="6" t="s">
        <v>44</v>
      </c>
      <c r="D241" s="6"/>
      <c r="E241" s="27"/>
    </row>
    <row r="242" spans="1:5" ht="12.75">
      <c r="A242" s="4" t="s">
        <v>40</v>
      </c>
      <c r="B242" s="6" t="s">
        <v>79</v>
      </c>
      <c r="C242" s="6" t="s">
        <v>44</v>
      </c>
      <c r="D242" s="6">
        <v>1</v>
      </c>
      <c r="E242" s="27">
        <v>445.47</v>
      </c>
    </row>
    <row r="243" spans="1:5" ht="12.75" hidden="1">
      <c r="A243" s="4" t="s">
        <v>99</v>
      </c>
      <c r="B243" s="6" t="s">
        <v>102</v>
      </c>
      <c r="C243" s="6" t="s">
        <v>44</v>
      </c>
      <c r="D243" s="6"/>
      <c r="E243" s="27"/>
    </row>
    <row r="244" spans="1:5" ht="12.75">
      <c r="A244" s="4" t="s">
        <v>99</v>
      </c>
      <c r="B244" s="6" t="s">
        <v>104</v>
      </c>
      <c r="C244" s="6" t="s">
        <v>44</v>
      </c>
      <c r="D244" s="6">
        <v>1</v>
      </c>
      <c r="E244" s="27">
        <v>11681.82</v>
      </c>
    </row>
    <row r="245" spans="1:5" ht="12.75">
      <c r="A245" s="4" t="s">
        <v>99</v>
      </c>
      <c r="B245" s="6" t="s">
        <v>154</v>
      </c>
      <c r="C245" s="6" t="s">
        <v>44</v>
      </c>
      <c r="D245" s="6">
        <f>1</f>
        <v>1</v>
      </c>
      <c r="E245" s="27">
        <f>3914</f>
        <v>3914</v>
      </c>
    </row>
    <row r="246" spans="1:5" ht="12.75" hidden="1">
      <c r="A246" s="4" t="s">
        <v>99</v>
      </c>
      <c r="B246" s="6" t="s">
        <v>111</v>
      </c>
      <c r="C246" s="6" t="s">
        <v>44</v>
      </c>
      <c r="D246" s="6"/>
      <c r="E246" s="27"/>
    </row>
    <row r="247" spans="1:5" ht="12.75">
      <c r="A247" s="4" t="s">
        <v>99</v>
      </c>
      <c r="B247" s="6" t="s">
        <v>115</v>
      </c>
      <c r="C247" s="6" t="s">
        <v>44</v>
      </c>
      <c r="D247" s="6">
        <f>1+1</f>
        <v>2</v>
      </c>
      <c r="E247" s="27">
        <f>4828+1907</f>
        <v>6735</v>
      </c>
    </row>
    <row r="248" spans="1:5" ht="12.75" hidden="1">
      <c r="A248" s="4" t="s">
        <v>99</v>
      </c>
      <c r="B248" s="6" t="s">
        <v>119</v>
      </c>
      <c r="C248" s="6" t="s">
        <v>44</v>
      </c>
      <c r="D248" s="6"/>
      <c r="E248" s="27"/>
    </row>
    <row r="249" spans="1:5" ht="12.75">
      <c r="A249" s="4" t="s">
        <v>125</v>
      </c>
      <c r="B249" s="6" t="s">
        <v>127</v>
      </c>
      <c r="C249" s="6" t="s">
        <v>44</v>
      </c>
      <c r="D249" s="6">
        <f>6+8</f>
        <v>14</v>
      </c>
      <c r="E249" s="27">
        <f>39651.32+50637</f>
        <v>90288.32</v>
      </c>
    </row>
    <row r="250" spans="1:5" ht="12.75">
      <c r="A250" s="4" t="s">
        <v>125</v>
      </c>
      <c r="B250" s="6" t="s">
        <v>168</v>
      </c>
      <c r="C250" s="6" t="s">
        <v>44</v>
      </c>
      <c r="D250" s="6">
        <v>1</v>
      </c>
      <c r="E250" s="27">
        <v>445.47</v>
      </c>
    </row>
    <row r="251" spans="1:5" ht="12.75">
      <c r="A251" s="4" t="s">
        <v>129</v>
      </c>
      <c r="B251" s="6" t="s">
        <v>130</v>
      </c>
      <c r="C251" s="6" t="s">
        <v>44</v>
      </c>
      <c r="D251" s="6">
        <v>1</v>
      </c>
      <c r="E251" s="27">
        <v>791</v>
      </c>
    </row>
    <row r="252" spans="1:5" ht="12.75" hidden="1">
      <c r="A252" s="4" t="s">
        <v>129</v>
      </c>
      <c r="B252" s="6" t="s">
        <v>87</v>
      </c>
      <c r="C252" s="6" t="s">
        <v>44</v>
      </c>
      <c r="D252" s="6"/>
      <c r="E252" s="27"/>
    </row>
    <row r="253" spans="1:5" ht="12.75" hidden="1">
      <c r="A253" s="4" t="s">
        <v>138</v>
      </c>
      <c r="B253" s="6" t="s">
        <v>141</v>
      </c>
      <c r="C253" s="6" t="s">
        <v>44</v>
      </c>
      <c r="D253" s="6"/>
      <c r="E253" s="27"/>
    </row>
    <row r="254" spans="1:5" ht="12.75">
      <c r="A254" s="4" t="s">
        <v>138</v>
      </c>
      <c r="B254" s="6" t="s">
        <v>109</v>
      </c>
      <c r="C254" s="6" t="s">
        <v>44</v>
      </c>
      <c r="D254" s="6">
        <v>4</v>
      </c>
      <c r="E254" s="27">
        <v>26925.03</v>
      </c>
    </row>
    <row r="255" spans="1:5" ht="12.75">
      <c r="A255" s="4" t="s">
        <v>83</v>
      </c>
      <c r="B255" s="6" t="s">
        <v>84</v>
      </c>
      <c r="C255" s="6" t="s">
        <v>44</v>
      </c>
      <c r="D255" s="6">
        <v>1</v>
      </c>
      <c r="E255" s="27">
        <v>11967.9</v>
      </c>
    </row>
    <row r="256" spans="1:5" ht="12.75">
      <c r="A256" s="4" t="s">
        <v>83</v>
      </c>
      <c r="B256" s="6" t="s">
        <v>89</v>
      </c>
      <c r="C256" s="6" t="s">
        <v>44</v>
      </c>
      <c r="D256" s="6">
        <v>1</v>
      </c>
      <c r="E256" s="27">
        <v>498.7</v>
      </c>
    </row>
    <row r="257" spans="1:5" ht="12.75">
      <c r="A257" s="4" t="s">
        <v>83</v>
      </c>
      <c r="B257" s="6" t="s">
        <v>54</v>
      </c>
      <c r="C257" s="6" t="s">
        <v>44</v>
      </c>
      <c r="D257" s="6">
        <v>1</v>
      </c>
      <c r="E257" s="27">
        <v>2982.52</v>
      </c>
    </row>
    <row r="258" spans="1:5" ht="12.75">
      <c r="A258" s="4"/>
      <c r="B258" s="6"/>
      <c r="C258" s="6"/>
      <c r="D258" s="6"/>
      <c r="E258" s="27"/>
    </row>
    <row r="259" spans="1:5" ht="12.75">
      <c r="A259" s="4"/>
      <c r="B259" s="6"/>
      <c r="C259" s="6"/>
      <c r="D259" s="6"/>
      <c r="E259" s="27"/>
    </row>
    <row r="260" spans="1:5" ht="12.75">
      <c r="A260" s="15" t="s">
        <v>145</v>
      </c>
      <c r="B260" s="6"/>
      <c r="C260" s="6"/>
      <c r="D260" s="6"/>
      <c r="E260" s="28">
        <f>SUM(E239:E259)</f>
        <v>156675.23</v>
      </c>
    </row>
    <row r="261" spans="1:5" ht="12.75">
      <c r="A261" s="45" t="s">
        <v>19</v>
      </c>
      <c r="B261" s="46"/>
      <c r="C261" s="46"/>
      <c r="D261" s="46"/>
      <c r="E261" s="47"/>
    </row>
    <row r="262" spans="1:5" ht="15" hidden="1">
      <c r="A262" s="4" t="s">
        <v>48</v>
      </c>
      <c r="B262" s="6" t="s">
        <v>52</v>
      </c>
      <c r="C262" s="6" t="s">
        <v>51</v>
      </c>
      <c r="D262" s="6"/>
      <c r="E262" s="27"/>
    </row>
    <row r="263" spans="1:5" ht="15">
      <c r="A263" s="4" t="s">
        <v>48</v>
      </c>
      <c r="B263" s="6" t="s">
        <v>56</v>
      </c>
      <c r="C263" s="6" t="s">
        <v>51</v>
      </c>
      <c r="D263" s="6">
        <f>2.4</f>
        <v>2.4</v>
      </c>
      <c r="E263" s="27">
        <f>1244</f>
        <v>1244</v>
      </c>
    </row>
    <row r="264" spans="1:5" ht="15" hidden="1">
      <c r="A264" s="4" t="s">
        <v>48</v>
      </c>
      <c r="B264" s="6" t="s">
        <v>66</v>
      </c>
      <c r="C264" s="6" t="s">
        <v>51</v>
      </c>
      <c r="D264" s="6"/>
      <c r="E264" s="27"/>
    </row>
    <row r="265" spans="1:5" ht="15" hidden="1">
      <c r="A265" s="4" t="s">
        <v>48</v>
      </c>
      <c r="B265" s="6" t="s">
        <v>70</v>
      </c>
      <c r="C265" s="6" t="s">
        <v>51</v>
      </c>
      <c r="D265" s="6"/>
      <c r="E265" s="27"/>
    </row>
    <row r="266" spans="1:5" ht="15">
      <c r="A266" s="4" t="s">
        <v>48</v>
      </c>
      <c r="B266" s="6" t="s">
        <v>72</v>
      </c>
      <c r="C266" s="6" t="s">
        <v>51</v>
      </c>
      <c r="D266" s="6">
        <v>9.6</v>
      </c>
      <c r="E266" s="27">
        <v>7690.06</v>
      </c>
    </row>
    <row r="267" spans="1:5" ht="15" hidden="1">
      <c r="A267" s="4" t="s">
        <v>83</v>
      </c>
      <c r="B267" s="6" t="s">
        <v>84</v>
      </c>
      <c r="C267" s="6" t="s">
        <v>51</v>
      </c>
      <c r="D267" s="6"/>
      <c r="E267" s="27"/>
    </row>
    <row r="268" spans="1:5" ht="15">
      <c r="A268" s="4" t="s">
        <v>92</v>
      </c>
      <c r="B268" s="6" t="s">
        <v>94</v>
      </c>
      <c r="C268" s="6" t="s">
        <v>51</v>
      </c>
      <c r="D268" s="6">
        <v>0.5</v>
      </c>
      <c r="E268" s="27">
        <v>169.15</v>
      </c>
    </row>
    <row r="269" spans="1:5" ht="15" hidden="1">
      <c r="A269" s="4" t="s">
        <v>99</v>
      </c>
      <c r="B269" s="6" t="s">
        <v>106</v>
      </c>
      <c r="C269" s="6" t="s">
        <v>51</v>
      </c>
      <c r="D269" s="6"/>
      <c r="E269" s="27"/>
    </row>
    <row r="270" spans="1:5" ht="15">
      <c r="A270" s="4" t="s">
        <v>99</v>
      </c>
      <c r="B270" s="6" t="s">
        <v>107</v>
      </c>
      <c r="C270" s="6" t="s">
        <v>51</v>
      </c>
      <c r="D270" s="6">
        <v>8</v>
      </c>
      <c r="E270" s="27">
        <f>5684</f>
        <v>5684</v>
      </c>
    </row>
    <row r="271" spans="1:5" ht="15">
      <c r="A271" s="4" t="s">
        <v>138</v>
      </c>
      <c r="B271" s="6" t="s">
        <v>107</v>
      </c>
      <c r="C271" s="6" t="s">
        <v>51</v>
      </c>
      <c r="D271" s="6">
        <v>0.9</v>
      </c>
      <c r="E271" s="27">
        <v>1352.84</v>
      </c>
    </row>
    <row r="272" spans="1:5" ht="15" hidden="1">
      <c r="A272" s="4" t="s">
        <v>142</v>
      </c>
      <c r="B272" s="6" t="s">
        <v>96</v>
      </c>
      <c r="C272" s="6" t="s">
        <v>51</v>
      </c>
      <c r="D272" s="6"/>
      <c r="E272" s="27"/>
    </row>
    <row r="273" spans="1:5" ht="15">
      <c r="A273" s="4" t="s">
        <v>97</v>
      </c>
      <c r="B273" s="6" t="s">
        <v>86</v>
      </c>
      <c r="C273" s="6" t="s">
        <v>51</v>
      </c>
      <c r="D273" s="6">
        <v>0.14</v>
      </c>
      <c r="E273" s="27">
        <f>210.32</f>
        <v>210.32</v>
      </c>
    </row>
    <row r="274" spans="1:5" ht="12.75" hidden="1">
      <c r="A274" s="4"/>
      <c r="B274" s="6"/>
      <c r="C274" s="6"/>
      <c r="D274" s="6"/>
      <c r="E274" s="27"/>
    </row>
    <row r="275" spans="1:5" ht="12.75" hidden="1">
      <c r="A275" s="4"/>
      <c r="B275" s="6"/>
      <c r="C275" s="6"/>
      <c r="D275" s="6"/>
      <c r="E275" s="27"/>
    </row>
    <row r="276" spans="1:5" ht="12.75">
      <c r="A276" s="15" t="s">
        <v>145</v>
      </c>
      <c r="B276" s="6"/>
      <c r="C276" s="6"/>
      <c r="D276" s="6"/>
      <c r="E276" s="28">
        <f>SUM(E262:E275)</f>
        <v>16350.37</v>
      </c>
    </row>
    <row r="277" spans="1:5" ht="12.75">
      <c r="A277" s="45" t="s">
        <v>172</v>
      </c>
      <c r="B277" s="46"/>
      <c r="C277" s="46"/>
      <c r="D277" s="46"/>
      <c r="E277" s="47"/>
    </row>
    <row r="278" spans="1:5" ht="15" hidden="1">
      <c r="A278" s="4" t="s">
        <v>48</v>
      </c>
      <c r="B278" s="6" t="s">
        <v>52</v>
      </c>
      <c r="C278" s="6" t="s">
        <v>51</v>
      </c>
      <c r="D278" s="6"/>
      <c r="E278" s="27"/>
    </row>
    <row r="279" spans="1:5" ht="15" hidden="1">
      <c r="A279" s="4" t="s">
        <v>48</v>
      </c>
      <c r="B279" s="6" t="s">
        <v>56</v>
      </c>
      <c r="C279" s="6" t="s">
        <v>51</v>
      </c>
      <c r="D279" s="6"/>
      <c r="E279" s="27"/>
    </row>
    <row r="280" spans="1:5" ht="15" hidden="1">
      <c r="A280" s="4" t="s">
        <v>48</v>
      </c>
      <c r="B280" s="6" t="s">
        <v>66</v>
      </c>
      <c r="C280" s="6" t="s">
        <v>51</v>
      </c>
      <c r="D280" s="6"/>
      <c r="E280" s="27"/>
    </row>
    <row r="281" spans="1:5" ht="15" hidden="1">
      <c r="A281" s="4" t="s">
        <v>48</v>
      </c>
      <c r="B281" s="6" t="s">
        <v>70</v>
      </c>
      <c r="C281" s="6" t="s">
        <v>51</v>
      </c>
      <c r="D281" s="6"/>
      <c r="E281" s="27"/>
    </row>
    <row r="282" spans="1:5" ht="15">
      <c r="A282" s="4" t="s">
        <v>48</v>
      </c>
      <c r="B282" s="6" t="s">
        <v>78</v>
      </c>
      <c r="C282" s="6" t="s">
        <v>51</v>
      </c>
      <c r="D282" s="6">
        <v>7</v>
      </c>
      <c r="E282" s="27">
        <v>10327.49</v>
      </c>
    </row>
    <row r="283" spans="1:5" ht="15" hidden="1">
      <c r="A283" s="4" t="s">
        <v>83</v>
      </c>
      <c r="B283" s="6" t="s">
        <v>84</v>
      </c>
      <c r="C283" s="6" t="s">
        <v>51</v>
      </c>
      <c r="D283" s="6"/>
      <c r="E283" s="27"/>
    </row>
    <row r="284" spans="1:5" ht="15" hidden="1">
      <c r="A284" s="4" t="s">
        <v>92</v>
      </c>
      <c r="B284" s="6" t="s">
        <v>94</v>
      </c>
      <c r="C284" s="6" t="s">
        <v>51</v>
      </c>
      <c r="D284" s="6"/>
      <c r="E284" s="27"/>
    </row>
    <row r="285" spans="1:5" ht="15" hidden="1">
      <c r="A285" s="4" t="s">
        <v>99</v>
      </c>
      <c r="B285" s="6" t="s">
        <v>106</v>
      </c>
      <c r="C285" s="6" t="s">
        <v>51</v>
      </c>
      <c r="D285" s="6"/>
      <c r="E285" s="27"/>
    </row>
    <row r="286" spans="1:5" ht="15" hidden="1">
      <c r="A286" s="4" t="s">
        <v>138</v>
      </c>
      <c r="B286" s="6" t="s">
        <v>107</v>
      </c>
      <c r="C286" s="6" t="s">
        <v>51</v>
      </c>
      <c r="D286" s="6"/>
      <c r="E286" s="27"/>
    </row>
    <row r="287" spans="1:5" ht="15" hidden="1">
      <c r="A287" s="4" t="s">
        <v>142</v>
      </c>
      <c r="B287" s="6" t="s">
        <v>96</v>
      </c>
      <c r="C287" s="6" t="s">
        <v>51</v>
      </c>
      <c r="D287" s="6"/>
      <c r="E287" s="27"/>
    </row>
    <row r="288" spans="1:5" ht="15" hidden="1">
      <c r="A288" s="4" t="s">
        <v>97</v>
      </c>
      <c r="B288" s="6" t="s">
        <v>86</v>
      </c>
      <c r="C288" s="6" t="s">
        <v>51</v>
      </c>
      <c r="D288" s="6"/>
      <c r="E288" s="27"/>
    </row>
    <row r="289" spans="1:5" ht="12.75" hidden="1">
      <c r="A289" s="4"/>
      <c r="B289" s="6"/>
      <c r="C289" s="6"/>
      <c r="D289" s="6"/>
      <c r="E289" s="27"/>
    </row>
    <row r="290" spans="1:5" ht="12.75" hidden="1">
      <c r="A290" s="4"/>
      <c r="B290" s="6"/>
      <c r="C290" s="6"/>
      <c r="D290" s="6"/>
      <c r="E290" s="27"/>
    </row>
    <row r="291" spans="1:5" ht="12.75">
      <c r="A291" s="15" t="s">
        <v>145</v>
      </c>
      <c r="B291" s="6"/>
      <c r="C291" s="6"/>
      <c r="D291" s="6"/>
      <c r="E291" s="28">
        <f>SUM(E278:E290)</f>
        <v>10327.49</v>
      </c>
    </row>
    <row r="292" spans="1:5" ht="12.75" hidden="1">
      <c r="A292" s="45" t="s">
        <v>20</v>
      </c>
      <c r="B292" s="46"/>
      <c r="C292" s="46"/>
      <c r="D292" s="46"/>
      <c r="E292" s="47"/>
    </row>
    <row r="293" spans="1:5" ht="12.75" hidden="1">
      <c r="A293" s="4" t="s">
        <v>40</v>
      </c>
      <c r="B293" s="6" t="s">
        <v>56</v>
      </c>
      <c r="C293" s="6" t="s">
        <v>44</v>
      </c>
      <c r="D293" s="6"/>
      <c r="E293" s="27"/>
    </row>
    <row r="294" spans="1:5" ht="12.75" hidden="1">
      <c r="A294" s="4" t="s">
        <v>40</v>
      </c>
      <c r="B294" s="6" t="s">
        <v>61</v>
      </c>
      <c r="C294" s="6" t="s">
        <v>44</v>
      </c>
      <c r="D294" s="6"/>
      <c r="E294" s="27"/>
    </row>
    <row r="295" spans="1:5" ht="12.75" hidden="1">
      <c r="A295" s="4" t="s">
        <v>40</v>
      </c>
      <c r="B295" s="6" t="s">
        <v>68</v>
      </c>
      <c r="C295" s="6" t="s">
        <v>44</v>
      </c>
      <c r="D295" s="6"/>
      <c r="E295" s="27"/>
    </row>
    <row r="296" spans="1:5" ht="12.75" hidden="1">
      <c r="A296" s="4" t="s">
        <v>40</v>
      </c>
      <c r="B296" s="6" t="s">
        <v>75</v>
      </c>
      <c r="C296" s="6" t="s">
        <v>43</v>
      </c>
      <c r="D296" s="6"/>
      <c r="E296" s="27"/>
    </row>
    <row r="297" spans="1:5" ht="12.75" hidden="1">
      <c r="A297" s="4" t="s">
        <v>97</v>
      </c>
      <c r="B297" s="6" t="s">
        <v>98</v>
      </c>
      <c r="C297" s="6" t="s">
        <v>43</v>
      </c>
      <c r="D297" s="6"/>
      <c r="E297" s="27"/>
    </row>
    <row r="298" spans="1:5" ht="12.75" hidden="1">
      <c r="A298" s="4" t="s">
        <v>99</v>
      </c>
      <c r="B298" s="6" t="s">
        <v>103</v>
      </c>
      <c r="C298" s="6" t="s">
        <v>44</v>
      </c>
      <c r="D298" s="6"/>
      <c r="E298" s="27"/>
    </row>
    <row r="299" spans="1:5" ht="12.75" hidden="1">
      <c r="A299" s="4" t="s">
        <v>129</v>
      </c>
      <c r="B299" s="6" t="s">
        <v>134</v>
      </c>
      <c r="C299" s="6" t="s">
        <v>43</v>
      </c>
      <c r="D299" s="6"/>
      <c r="E299" s="27"/>
    </row>
    <row r="300" spans="1:5" ht="12.75" hidden="1">
      <c r="A300" s="4"/>
      <c r="B300" s="6"/>
      <c r="C300" s="6"/>
      <c r="D300" s="6"/>
      <c r="E300" s="27"/>
    </row>
    <row r="301" spans="1:5" ht="12.75" hidden="1">
      <c r="A301" s="15" t="s">
        <v>145</v>
      </c>
      <c r="B301" s="6"/>
      <c r="C301" s="6"/>
      <c r="D301" s="6"/>
      <c r="E301" s="28">
        <f>SUM(E293:E300)</f>
        <v>0</v>
      </c>
    </row>
    <row r="302" spans="1:5" ht="12.75">
      <c r="A302" s="45" t="s">
        <v>21</v>
      </c>
      <c r="B302" s="46"/>
      <c r="C302" s="46"/>
      <c r="D302" s="46"/>
      <c r="E302" s="47"/>
    </row>
    <row r="303" spans="1:5" ht="12.75">
      <c r="A303" s="4" t="s">
        <v>40</v>
      </c>
      <c r="B303" s="6" t="s">
        <v>62</v>
      </c>
      <c r="C303" s="6" t="s">
        <v>43</v>
      </c>
      <c r="D303" s="6">
        <f>1.5+2.5+12</f>
        <v>16</v>
      </c>
      <c r="E303" s="27">
        <f>3200.78+2230+8468</f>
        <v>13898.78</v>
      </c>
    </row>
    <row r="304" spans="1:5" ht="12.75" hidden="1">
      <c r="A304" s="4" t="s">
        <v>40</v>
      </c>
      <c r="B304" s="6" t="s">
        <v>78</v>
      </c>
      <c r="C304" s="6" t="s">
        <v>43</v>
      </c>
      <c r="D304" s="6"/>
      <c r="E304" s="27"/>
    </row>
    <row r="305" spans="1:5" ht="12.75">
      <c r="A305" s="4" t="s">
        <v>83</v>
      </c>
      <c r="B305" s="6" t="s">
        <v>87</v>
      </c>
      <c r="C305" s="6" t="s">
        <v>43</v>
      </c>
      <c r="D305" s="6">
        <v>3</v>
      </c>
      <c r="E305" s="27">
        <v>1877.46</v>
      </c>
    </row>
    <row r="306" spans="1:5" ht="12.75" hidden="1">
      <c r="A306" s="4" t="s">
        <v>99</v>
      </c>
      <c r="B306" s="6" t="s">
        <v>96</v>
      </c>
      <c r="C306" s="6" t="s">
        <v>43</v>
      </c>
      <c r="D306" s="6"/>
      <c r="E306" s="27"/>
    </row>
    <row r="307" spans="1:5" ht="12.75" hidden="1">
      <c r="A307" s="4" t="s">
        <v>99</v>
      </c>
      <c r="B307" s="6" t="s">
        <v>118</v>
      </c>
      <c r="C307" s="6" t="s">
        <v>43</v>
      </c>
      <c r="D307" s="6"/>
      <c r="E307" s="27"/>
    </row>
    <row r="308" spans="1:5" ht="12.75">
      <c r="A308" s="4" t="s">
        <v>125</v>
      </c>
      <c r="B308" s="6" t="s">
        <v>93</v>
      </c>
      <c r="C308" s="6" t="s">
        <v>43</v>
      </c>
      <c r="D308" s="6">
        <f>2+15</f>
        <v>17</v>
      </c>
      <c r="E308" s="27">
        <f>1737.58+11652</f>
        <v>13389.58</v>
      </c>
    </row>
    <row r="309" spans="1:5" ht="12.75">
      <c r="A309" s="4" t="s">
        <v>129</v>
      </c>
      <c r="B309" s="6" t="s">
        <v>84</v>
      </c>
      <c r="C309" s="6" t="s">
        <v>43</v>
      </c>
      <c r="D309" s="6">
        <v>2.5</v>
      </c>
      <c r="E309" s="27">
        <v>3855.18</v>
      </c>
    </row>
    <row r="310" spans="1:5" ht="12.75">
      <c r="A310" s="4" t="s">
        <v>129</v>
      </c>
      <c r="B310" s="6" t="s">
        <v>132</v>
      </c>
      <c r="C310" s="6" t="s">
        <v>43</v>
      </c>
      <c r="D310" s="6">
        <v>1</v>
      </c>
      <c r="E310" s="27">
        <v>1505.97</v>
      </c>
    </row>
    <row r="311" spans="1:5" ht="12.75">
      <c r="A311" s="4" t="s">
        <v>129</v>
      </c>
      <c r="B311" s="6" t="s">
        <v>89</v>
      </c>
      <c r="C311" s="6" t="s">
        <v>43</v>
      </c>
      <c r="D311" s="6">
        <f>15</f>
        <v>15</v>
      </c>
      <c r="E311" s="27">
        <f>12714</f>
        <v>12714</v>
      </c>
    </row>
    <row r="312" spans="1:5" ht="12.75">
      <c r="A312" s="4" t="s">
        <v>129</v>
      </c>
      <c r="B312" s="6" t="s">
        <v>135</v>
      </c>
      <c r="C312" s="6" t="s">
        <v>43</v>
      </c>
      <c r="D312" s="6">
        <v>2</v>
      </c>
      <c r="E312" s="27">
        <v>442.58</v>
      </c>
    </row>
    <row r="313" spans="1:5" ht="12.75">
      <c r="A313" s="4" t="s">
        <v>97</v>
      </c>
      <c r="B313" s="6" t="s">
        <v>86</v>
      </c>
      <c r="C313" s="6" t="s">
        <v>43</v>
      </c>
      <c r="D313" s="6">
        <v>2</v>
      </c>
      <c r="E313" s="27">
        <v>421.56</v>
      </c>
    </row>
    <row r="314" spans="1:5" ht="12.75" hidden="1">
      <c r="A314" s="4"/>
      <c r="B314" s="6"/>
      <c r="C314" s="6"/>
      <c r="D314" s="6"/>
      <c r="E314" s="27"/>
    </row>
    <row r="315" spans="1:5" ht="12.75" hidden="1">
      <c r="A315" s="4"/>
      <c r="B315" s="6"/>
      <c r="C315" s="6"/>
      <c r="D315" s="6"/>
      <c r="E315" s="27"/>
    </row>
    <row r="316" spans="1:5" ht="12.75">
      <c r="A316" s="15" t="s">
        <v>145</v>
      </c>
      <c r="B316" s="6"/>
      <c r="C316" s="6"/>
      <c r="D316" s="6"/>
      <c r="E316" s="28">
        <f>SUM(E303:E315)</f>
        <v>48105.11</v>
      </c>
    </row>
    <row r="317" spans="1:5" ht="12.75">
      <c r="A317" s="45" t="s">
        <v>22</v>
      </c>
      <c r="B317" s="46"/>
      <c r="C317" s="46"/>
      <c r="D317" s="46"/>
      <c r="E317" s="47"/>
    </row>
    <row r="318" spans="1:5" ht="12.75" hidden="1">
      <c r="A318" s="4" t="s">
        <v>40</v>
      </c>
      <c r="B318" s="6" t="s">
        <v>56</v>
      </c>
      <c r="C318" s="6" t="s">
        <v>44</v>
      </c>
      <c r="D318" s="6"/>
      <c r="E318" s="30"/>
    </row>
    <row r="319" spans="1:5" ht="12.75" hidden="1">
      <c r="A319" s="4" t="s">
        <v>40</v>
      </c>
      <c r="B319" s="6" t="s">
        <v>61</v>
      </c>
      <c r="C319" s="6" t="s">
        <v>44</v>
      </c>
      <c r="D319" s="6"/>
      <c r="E319" s="30"/>
    </row>
    <row r="320" spans="1:5" ht="12.75" hidden="1">
      <c r="A320" s="4" t="s">
        <v>40</v>
      </c>
      <c r="B320" s="6" t="s">
        <v>68</v>
      </c>
      <c r="C320" s="6" t="s">
        <v>44</v>
      </c>
      <c r="D320" s="6"/>
      <c r="E320" s="30"/>
    </row>
    <row r="321" spans="1:5" ht="12.75" hidden="1">
      <c r="A321" s="4" t="s">
        <v>83</v>
      </c>
      <c r="B321" s="6" t="s">
        <v>84</v>
      </c>
      <c r="C321" s="6" t="s">
        <v>44</v>
      </c>
      <c r="D321" s="6"/>
      <c r="E321" s="30"/>
    </row>
    <row r="322" spans="1:5" ht="12.75" hidden="1">
      <c r="A322" s="4" t="s">
        <v>83</v>
      </c>
      <c r="B322" s="6" t="s">
        <v>41</v>
      </c>
      <c r="C322" s="6" t="s">
        <v>44</v>
      </c>
      <c r="D322" s="6"/>
      <c r="E322" s="30"/>
    </row>
    <row r="323" spans="1:5" ht="12.75">
      <c r="A323" s="4" t="s">
        <v>83</v>
      </c>
      <c r="B323" s="6" t="s">
        <v>52</v>
      </c>
      <c r="C323" s="6" t="s">
        <v>44</v>
      </c>
      <c r="D323" s="6">
        <v>11</v>
      </c>
      <c r="E323" s="30">
        <v>4871.5</v>
      </c>
    </row>
    <row r="324" spans="1:5" ht="12.75">
      <c r="A324" s="4" t="s">
        <v>99</v>
      </c>
      <c r="B324" s="6" t="s">
        <v>93</v>
      </c>
      <c r="C324" s="6" t="s">
        <v>44</v>
      </c>
      <c r="D324" s="6">
        <v>20</v>
      </c>
      <c r="E324" s="30">
        <v>9056.99</v>
      </c>
    </row>
    <row r="325" spans="1:5" ht="12.75" hidden="1">
      <c r="A325" s="4" t="s">
        <v>99</v>
      </c>
      <c r="B325" s="6" t="s">
        <v>118</v>
      </c>
      <c r="C325" s="6" t="s">
        <v>44</v>
      </c>
      <c r="D325" s="6"/>
      <c r="E325" s="30"/>
    </row>
    <row r="326" spans="1:5" ht="12.75">
      <c r="A326" s="4" t="s">
        <v>125</v>
      </c>
      <c r="B326" s="6" t="s">
        <v>121</v>
      </c>
      <c r="C326" s="6" t="s">
        <v>44</v>
      </c>
      <c r="D326" s="6">
        <v>1</v>
      </c>
      <c r="E326" s="30">
        <v>260</v>
      </c>
    </row>
    <row r="327" spans="1:5" ht="12.75" hidden="1">
      <c r="A327" s="4" t="s">
        <v>129</v>
      </c>
      <c r="B327" s="6" t="s">
        <v>131</v>
      </c>
      <c r="C327" s="6" t="s">
        <v>44</v>
      </c>
      <c r="D327" s="6"/>
      <c r="E327" s="30"/>
    </row>
    <row r="328" spans="1:5" ht="12.75" hidden="1">
      <c r="A328" s="4"/>
      <c r="B328" s="6"/>
      <c r="C328" s="6"/>
      <c r="D328" s="6"/>
      <c r="E328" s="30"/>
    </row>
    <row r="329" spans="1:5" ht="12.75" hidden="1">
      <c r="A329" s="4"/>
      <c r="B329" s="6"/>
      <c r="C329" s="6"/>
      <c r="D329" s="6"/>
      <c r="E329" s="27"/>
    </row>
    <row r="330" spans="1:5" ht="12.75">
      <c r="A330" s="15" t="s">
        <v>145</v>
      </c>
      <c r="B330" s="6"/>
      <c r="C330" s="6"/>
      <c r="D330" s="6"/>
      <c r="E330" s="28">
        <f>SUM(E318:E329)</f>
        <v>14188.49</v>
      </c>
    </row>
    <row r="331" spans="1:5" ht="12.75">
      <c r="A331" s="45" t="s">
        <v>23</v>
      </c>
      <c r="B331" s="46"/>
      <c r="C331" s="46"/>
      <c r="D331" s="46"/>
      <c r="E331" s="47"/>
    </row>
    <row r="332" spans="1:5" ht="12.75">
      <c r="A332" s="4" t="s">
        <v>48</v>
      </c>
      <c r="B332" s="6" t="s">
        <v>41</v>
      </c>
      <c r="C332" s="6" t="s">
        <v>43</v>
      </c>
      <c r="D332" s="6">
        <f>77+21</f>
        <v>98</v>
      </c>
      <c r="E332" s="27">
        <f>18882.54+5196.11</f>
        <v>24078.65</v>
      </c>
    </row>
    <row r="333" spans="1:5" ht="12.75">
      <c r="A333" s="4" t="s">
        <v>48</v>
      </c>
      <c r="B333" s="6" t="s">
        <v>61</v>
      </c>
      <c r="C333" s="6" t="s">
        <v>43</v>
      </c>
      <c r="D333" s="6">
        <f>112+36+40</f>
        <v>188</v>
      </c>
      <c r="E333" s="27">
        <f>26363.85+10153.8+12956.35</f>
        <v>49473.99999999999</v>
      </c>
    </row>
    <row r="334" spans="1:5" ht="12.75" hidden="1">
      <c r="A334" s="4" t="s">
        <v>48</v>
      </c>
      <c r="B334" s="6" t="s">
        <v>62</v>
      </c>
      <c r="C334" s="6" t="s">
        <v>43</v>
      </c>
      <c r="D334" s="6"/>
      <c r="E334" s="27"/>
    </row>
    <row r="335" spans="1:5" ht="12.75" hidden="1">
      <c r="A335" s="4" t="s">
        <v>83</v>
      </c>
      <c r="B335" s="6" t="s">
        <v>84</v>
      </c>
      <c r="C335" s="6" t="s">
        <v>43</v>
      </c>
      <c r="D335" s="6"/>
      <c r="E335" s="27"/>
    </row>
    <row r="336" spans="1:5" ht="12.75">
      <c r="A336" s="4" t="s">
        <v>83</v>
      </c>
      <c r="B336" s="6" t="s">
        <v>54</v>
      </c>
      <c r="C336" s="6" t="s">
        <v>43</v>
      </c>
      <c r="D336" s="6">
        <v>94</v>
      </c>
      <c r="E336" s="27">
        <v>22656.87</v>
      </c>
    </row>
    <row r="337" spans="1:5" ht="12.75" hidden="1">
      <c r="A337" s="4" t="s">
        <v>92</v>
      </c>
      <c r="B337" s="6" t="s">
        <v>93</v>
      </c>
      <c r="C337" s="6" t="s">
        <v>43</v>
      </c>
      <c r="D337" s="6"/>
      <c r="E337" s="27"/>
    </row>
    <row r="338" spans="1:5" ht="12.75" hidden="1">
      <c r="A338" s="4" t="s">
        <v>92</v>
      </c>
      <c r="B338" s="6" t="s">
        <v>94</v>
      </c>
      <c r="C338" s="6" t="s">
        <v>43</v>
      </c>
      <c r="D338" s="6"/>
      <c r="E338" s="27"/>
    </row>
    <row r="339" spans="1:5" ht="12.75">
      <c r="A339" s="4" t="s">
        <v>92</v>
      </c>
      <c r="B339" s="6" t="s">
        <v>96</v>
      </c>
      <c r="C339" s="6" t="s">
        <v>43</v>
      </c>
      <c r="D339" s="6">
        <v>39</v>
      </c>
      <c r="E339" s="27">
        <v>8613.78</v>
      </c>
    </row>
    <row r="340" spans="1:5" ht="12.75">
      <c r="A340" s="4" t="s">
        <v>97</v>
      </c>
      <c r="B340" s="6" t="s">
        <v>98</v>
      </c>
      <c r="C340" s="6" t="s">
        <v>43</v>
      </c>
      <c r="D340" s="6">
        <v>3</v>
      </c>
      <c r="E340" s="27">
        <f>1674.99</f>
        <v>1674.99</v>
      </c>
    </row>
    <row r="341" spans="1:5" ht="12.75" hidden="1">
      <c r="A341" s="4" t="s">
        <v>99</v>
      </c>
      <c r="B341" s="6" t="s">
        <v>93</v>
      </c>
      <c r="C341" s="6" t="s">
        <v>43</v>
      </c>
      <c r="D341" s="6"/>
      <c r="E341" s="27"/>
    </row>
    <row r="342" spans="1:5" ht="12.75">
      <c r="A342" s="4" t="s">
        <v>99</v>
      </c>
      <c r="B342" s="6" t="s">
        <v>95</v>
      </c>
      <c r="C342" s="6" t="s">
        <v>43</v>
      </c>
      <c r="D342" s="6">
        <f>180</f>
        <v>180</v>
      </c>
      <c r="E342" s="27">
        <f>49226.99</f>
        <v>49226.99</v>
      </c>
    </row>
    <row r="343" spans="1:5" ht="12.75">
      <c r="A343" s="4" t="s">
        <v>99</v>
      </c>
      <c r="B343" s="6" t="s">
        <v>103</v>
      </c>
      <c r="C343" s="6" t="s">
        <v>43</v>
      </c>
      <c r="D343" s="6">
        <v>54</v>
      </c>
      <c r="E343" s="27">
        <f>12566.46</f>
        <v>12566.46</v>
      </c>
    </row>
    <row r="344" spans="1:5" ht="12.75">
      <c r="A344" s="4" t="s">
        <v>99</v>
      </c>
      <c r="B344" s="6" t="s">
        <v>96</v>
      </c>
      <c r="C344" s="6" t="s">
        <v>43</v>
      </c>
      <c r="D344" s="6">
        <f>55+1.5</f>
        <v>56.5</v>
      </c>
      <c r="E344" s="27">
        <f>13674.68+1204.71</f>
        <v>14879.39</v>
      </c>
    </row>
    <row r="345" spans="1:5" ht="12.75">
      <c r="A345" s="4" t="s">
        <v>99</v>
      </c>
      <c r="B345" s="6" t="s">
        <v>106</v>
      </c>
      <c r="C345" s="6" t="s">
        <v>43</v>
      </c>
      <c r="D345" s="6">
        <f>160+18</f>
        <v>178</v>
      </c>
      <c r="E345" s="27">
        <f>48197.15+4895.33</f>
        <v>53092.48</v>
      </c>
    </row>
    <row r="346" spans="1:5" ht="12.75">
      <c r="A346" s="4" t="s">
        <v>99</v>
      </c>
      <c r="B346" s="6" t="s">
        <v>107</v>
      </c>
      <c r="C346" s="6" t="s">
        <v>43</v>
      </c>
      <c r="D346" s="6">
        <v>98</v>
      </c>
      <c r="E346" s="27">
        <v>20316.19</v>
      </c>
    </row>
    <row r="347" spans="1:5" ht="12.75">
      <c r="A347" s="4" t="s">
        <v>99</v>
      </c>
      <c r="B347" s="6" t="s">
        <v>108</v>
      </c>
      <c r="C347" s="6" t="s">
        <v>43</v>
      </c>
      <c r="D347" s="6">
        <f>2</f>
        <v>2</v>
      </c>
      <c r="E347" s="27">
        <f>1317</f>
        <v>1317</v>
      </c>
    </row>
    <row r="348" spans="1:5" ht="12.75">
      <c r="A348" s="4" t="s">
        <v>99</v>
      </c>
      <c r="B348" s="6" t="s">
        <v>110</v>
      </c>
      <c r="C348" s="6" t="s">
        <v>43</v>
      </c>
      <c r="D348" s="6">
        <f>1.2</f>
        <v>1.2</v>
      </c>
      <c r="E348" s="27">
        <v>2829.17</v>
      </c>
    </row>
    <row r="349" spans="1:5" ht="12.75">
      <c r="A349" s="4" t="s">
        <v>99</v>
      </c>
      <c r="B349" s="6" t="s">
        <v>112</v>
      </c>
      <c r="C349" s="6" t="s">
        <v>43</v>
      </c>
      <c r="D349" s="6">
        <f>68+1.5</f>
        <v>69.5</v>
      </c>
      <c r="E349" s="27">
        <f>14354.37+1204.71</f>
        <v>15559.080000000002</v>
      </c>
    </row>
    <row r="350" spans="1:5" ht="12.75">
      <c r="A350" s="4" t="s">
        <v>99</v>
      </c>
      <c r="B350" s="6" t="s">
        <v>116</v>
      </c>
      <c r="C350" s="6" t="s">
        <v>43</v>
      </c>
      <c r="D350" s="6">
        <f>1.1</f>
        <v>1.1</v>
      </c>
      <c r="E350" s="27">
        <f>2488.11</f>
        <v>2488.11</v>
      </c>
    </row>
    <row r="351" spans="1:5" ht="12.75">
      <c r="A351" s="4" t="s">
        <v>99</v>
      </c>
      <c r="B351" s="6" t="s">
        <v>117</v>
      </c>
      <c r="C351" s="6" t="s">
        <v>43</v>
      </c>
      <c r="D351" s="6">
        <f>71+45</f>
        <v>116</v>
      </c>
      <c r="E351" s="27">
        <f>16721.94+10562.95</f>
        <v>27284.89</v>
      </c>
    </row>
    <row r="352" spans="1:5" ht="12.75">
      <c r="A352" s="4" t="s">
        <v>99</v>
      </c>
      <c r="B352" s="6" t="s">
        <v>118</v>
      </c>
      <c r="C352" s="6" t="s">
        <v>43</v>
      </c>
      <c r="D352" s="6">
        <v>45</v>
      </c>
      <c r="E352" s="27">
        <v>10562.95</v>
      </c>
    </row>
    <row r="353" spans="1:5" ht="12.75">
      <c r="A353" s="4" t="s">
        <v>99</v>
      </c>
      <c r="B353" s="6" t="s">
        <v>120</v>
      </c>
      <c r="C353" s="6" t="s">
        <v>43</v>
      </c>
      <c r="D353" s="6">
        <f>21+2</f>
        <v>23</v>
      </c>
      <c r="E353" s="27">
        <f>5186.29+1317</f>
        <v>6503.29</v>
      </c>
    </row>
    <row r="354" spans="1:5" ht="12.75">
      <c r="A354" s="4" t="s">
        <v>99</v>
      </c>
      <c r="B354" s="6" t="s">
        <v>123</v>
      </c>
      <c r="C354" s="6" t="s">
        <v>43</v>
      </c>
      <c r="D354" s="6">
        <f>78+2</f>
        <v>80</v>
      </c>
      <c r="E354" s="27">
        <f>18522.52+1317</f>
        <v>19839.52</v>
      </c>
    </row>
    <row r="355" spans="1:5" ht="12.75">
      <c r="A355" s="4" t="s">
        <v>125</v>
      </c>
      <c r="B355" s="6" t="s">
        <v>121</v>
      </c>
      <c r="C355" s="6" t="s">
        <v>43</v>
      </c>
      <c r="D355" s="6">
        <f>371+60+60</f>
        <v>491</v>
      </c>
      <c r="E355" s="27">
        <f>88952.36+14447.17+22390.34</f>
        <v>125789.87</v>
      </c>
    </row>
    <row r="356" spans="1:5" ht="12.75">
      <c r="A356" s="4" t="s">
        <v>129</v>
      </c>
      <c r="B356" s="6" t="s">
        <v>130</v>
      </c>
      <c r="C356" s="6" t="s">
        <v>43</v>
      </c>
      <c r="D356" s="6">
        <v>12</v>
      </c>
      <c r="E356" s="27">
        <v>2914.18</v>
      </c>
    </row>
    <row r="357" spans="1:5" ht="12.75">
      <c r="A357" s="4" t="s">
        <v>129</v>
      </c>
      <c r="B357" s="6" t="s">
        <v>87</v>
      </c>
      <c r="C357" s="6" t="s">
        <v>43</v>
      </c>
      <c r="D357" s="6">
        <f>18+1.6</f>
        <v>19.6</v>
      </c>
      <c r="E357" s="27">
        <f>4895.33+1514.71</f>
        <v>6410.04</v>
      </c>
    </row>
    <row r="358" spans="1:5" ht="12.75" hidden="1">
      <c r="A358" s="4"/>
      <c r="B358" s="6"/>
      <c r="C358" s="6"/>
      <c r="D358" s="6"/>
      <c r="E358" s="27"/>
    </row>
    <row r="359" spans="1:5" ht="12.75" hidden="1">
      <c r="A359" s="4"/>
      <c r="B359" s="6"/>
      <c r="C359" s="6"/>
      <c r="D359" s="6"/>
      <c r="E359" s="27"/>
    </row>
    <row r="360" spans="1:5" ht="12.75" hidden="1">
      <c r="A360" s="4"/>
      <c r="B360" s="6"/>
      <c r="C360" s="6"/>
      <c r="D360" s="6"/>
      <c r="E360" s="27"/>
    </row>
    <row r="361" spans="1:5" ht="12.75" hidden="1">
      <c r="A361" s="4"/>
      <c r="B361" s="6"/>
      <c r="C361" s="6"/>
      <c r="D361" s="6"/>
      <c r="E361" s="27"/>
    </row>
    <row r="362" spans="1:5" ht="12.75" hidden="1">
      <c r="A362" s="4"/>
      <c r="B362" s="6"/>
      <c r="C362" s="6"/>
      <c r="D362" s="6"/>
      <c r="E362" s="27"/>
    </row>
    <row r="363" spans="1:5" ht="12.75" hidden="1">
      <c r="A363" s="4"/>
      <c r="B363" s="6"/>
      <c r="C363" s="6"/>
      <c r="D363" s="6"/>
      <c r="E363" s="27"/>
    </row>
    <row r="364" spans="1:5" ht="12.75" hidden="1">
      <c r="A364" s="4"/>
      <c r="B364" s="6"/>
      <c r="C364" s="6"/>
      <c r="D364" s="6"/>
      <c r="E364" s="27"/>
    </row>
    <row r="365" spans="1:5" ht="12.75" hidden="1">
      <c r="A365" s="4"/>
      <c r="B365" s="6"/>
      <c r="C365" s="6"/>
      <c r="D365" s="6"/>
      <c r="E365" s="27"/>
    </row>
    <row r="366" spans="1:5" ht="12.75" hidden="1">
      <c r="A366" s="4"/>
      <c r="B366" s="6"/>
      <c r="C366" s="6"/>
      <c r="D366" s="6"/>
      <c r="E366" s="27"/>
    </row>
    <row r="367" spans="1:5" ht="12.75" hidden="1">
      <c r="A367" s="4"/>
      <c r="B367" s="6"/>
      <c r="C367" s="6"/>
      <c r="D367" s="6"/>
      <c r="E367" s="27"/>
    </row>
    <row r="368" spans="1:5" ht="12.75" hidden="1">
      <c r="A368" s="4"/>
      <c r="B368" s="6"/>
      <c r="C368" s="6"/>
      <c r="D368" s="6"/>
      <c r="E368" s="27"/>
    </row>
    <row r="369" spans="1:5" ht="12.75">
      <c r="A369" s="15" t="s">
        <v>145</v>
      </c>
      <c r="B369" s="6"/>
      <c r="C369" s="6"/>
      <c r="D369" s="6"/>
      <c r="E369" s="28">
        <f>SUM(E332:E368)</f>
        <v>478077.9</v>
      </c>
    </row>
    <row r="370" spans="1:5" ht="27" customHeight="1">
      <c r="A370" s="48" t="s">
        <v>24</v>
      </c>
      <c r="B370" s="49"/>
      <c r="C370" s="49"/>
      <c r="D370" s="49"/>
      <c r="E370" s="50"/>
    </row>
    <row r="371" spans="1:5" ht="12.75" hidden="1">
      <c r="A371" s="4"/>
      <c r="B371" s="5"/>
      <c r="C371" s="5"/>
      <c r="D371" s="5"/>
      <c r="E371" s="27"/>
    </row>
    <row r="372" spans="1:5" ht="12.75">
      <c r="A372" s="45" t="s">
        <v>25</v>
      </c>
      <c r="B372" s="46"/>
      <c r="C372" s="46"/>
      <c r="D372" s="46"/>
      <c r="E372" s="47"/>
    </row>
    <row r="373" spans="1:5" ht="15">
      <c r="A373" s="4" t="s">
        <v>40</v>
      </c>
      <c r="B373" s="6" t="s">
        <v>54</v>
      </c>
      <c r="C373" s="9" t="s">
        <v>60</v>
      </c>
      <c r="D373" s="6">
        <v>1</v>
      </c>
      <c r="E373" s="27">
        <f>483.49</f>
        <v>483.49</v>
      </c>
    </row>
    <row r="374" spans="1:5" ht="15">
      <c r="A374" s="4" t="s">
        <v>40</v>
      </c>
      <c r="B374" s="6" t="s">
        <v>59</v>
      </c>
      <c r="C374" s="9" t="s">
        <v>60</v>
      </c>
      <c r="D374" s="6">
        <f>2</f>
        <v>2</v>
      </c>
      <c r="E374" s="27">
        <f>2887.04</f>
        <v>2887.04</v>
      </c>
    </row>
    <row r="375" spans="1:5" ht="15">
      <c r="A375" s="4" t="s">
        <v>40</v>
      </c>
      <c r="B375" s="6" t="s">
        <v>68</v>
      </c>
      <c r="C375" s="9" t="s">
        <v>60</v>
      </c>
      <c r="D375" s="6">
        <f>2+9</f>
        <v>11</v>
      </c>
      <c r="E375" s="27">
        <f>2887.04+8512.14</f>
        <v>11399.18</v>
      </c>
    </row>
    <row r="376" spans="1:5" ht="15" hidden="1">
      <c r="A376" s="4" t="s">
        <v>40</v>
      </c>
      <c r="B376" s="6" t="s">
        <v>78</v>
      </c>
      <c r="C376" s="9" t="s">
        <v>60</v>
      </c>
      <c r="D376" s="6"/>
      <c r="E376" s="27"/>
    </row>
    <row r="377" spans="1:5" ht="15">
      <c r="A377" s="4" t="s">
        <v>40</v>
      </c>
      <c r="B377" s="6" t="s">
        <v>80</v>
      </c>
      <c r="C377" s="9" t="s">
        <v>60</v>
      </c>
      <c r="D377" s="6">
        <f>1.2+2+4</f>
        <v>7.2</v>
      </c>
      <c r="E377" s="27">
        <f>3724.96+4182.04+5774.07</f>
        <v>13681.07</v>
      </c>
    </row>
    <row r="378" spans="1:5" ht="15">
      <c r="A378" s="4" t="s">
        <v>83</v>
      </c>
      <c r="B378" s="6" t="s">
        <v>85</v>
      </c>
      <c r="C378" s="9" t="s">
        <v>60</v>
      </c>
      <c r="D378" s="6">
        <v>6</v>
      </c>
      <c r="E378" s="27">
        <v>13444.9</v>
      </c>
    </row>
    <row r="379" spans="1:5" ht="15" hidden="1">
      <c r="A379" s="4" t="s">
        <v>83</v>
      </c>
      <c r="B379" s="6" t="s">
        <v>88</v>
      </c>
      <c r="C379" s="9" t="s">
        <v>60</v>
      </c>
      <c r="D379" s="6"/>
      <c r="E379" s="27"/>
    </row>
    <row r="380" spans="1:5" ht="15">
      <c r="A380" s="4" t="s">
        <v>83</v>
      </c>
      <c r="B380" s="6" t="s">
        <v>89</v>
      </c>
      <c r="C380" s="9" t="s">
        <v>60</v>
      </c>
      <c r="D380" s="6">
        <f>2</f>
        <v>2</v>
      </c>
      <c r="E380" s="27">
        <f>2887.04</f>
        <v>2887.04</v>
      </c>
    </row>
    <row r="381" spans="1:5" ht="15" hidden="1">
      <c r="A381" s="4" t="s">
        <v>83</v>
      </c>
      <c r="B381" s="6" t="s">
        <v>41</v>
      </c>
      <c r="C381" s="9" t="s">
        <v>60</v>
      </c>
      <c r="D381" s="6"/>
      <c r="E381" s="27"/>
    </row>
    <row r="382" spans="1:5" ht="15">
      <c r="A382" s="4" t="s">
        <v>83</v>
      </c>
      <c r="B382" s="6" t="s">
        <v>54</v>
      </c>
      <c r="C382" s="9" t="s">
        <v>60</v>
      </c>
      <c r="D382" s="6">
        <v>2.5</v>
      </c>
      <c r="E382" s="27">
        <v>2364.53</v>
      </c>
    </row>
    <row r="383" spans="1:5" ht="15">
      <c r="A383" s="4" t="s">
        <v>99</v>
      </c>
      <c r="B383" s="6" t="s">
        <v>103</v>
      </c>
      <c r="C383" s="9" t="s">
        <v>60</v>
      </c>
      <c r="D383" s="6">
        <v>1.5</v>
      </c>
      <c r="E383" s="27">
        <v>4008.78</v>
      </c>
    </row>
    <row r="384" spans="1:5" ht="15" hidden="1">
      <c r="A384" s="4" t="s">
        <v>99</v>
      </c>
      <c r="B384" s="6" t="s">
        <v>96</v>
      </c>
      <c r="C384" s="9" t="s">
        <v>60</v>
      </c>
      <c r="D384" s="6"/>
      <c r="E384" s="27"/>
    </row>
    <row r="385" spans="1:5" ht="15">
      <c r="A385" s="4" t="s">
        <v>99</v>
      </c>
      <c r="B385" s="6" t="s">
        <v>106</v>
      </c>
      <c r="C385" s="9" t="s">
        <v>60</v>
      </c>
      <c r="D385" s="6">
        <f>1</f>
        <v>1</v>
      </c>
      <c r="E385" s="27">
        <f>2791</f>
        <v>2791</v>
      </c>
    </row>
    <row r="386" spans="1:5" ht="15" hidden="1">
      <c r="A386" s="4" t="s">
        <v>99</v>
      </c>
      <c r="B386" s="6" t="s">
        <v>107</v>
      </c>
      <c r="C386" s="9" t="s">
        <v>60</v>
      </c>
      <c r="D386" s="6"/>
      <c r="E386" s="27"/>
    </row>
    <row r="387" spans="1:5" ht="15">
      <c r="A387" s="4" t="s">
        <v>99</v>
      </c>
      <c r="B387" s="6" t="s">
        <v>112</v>
      </c>
      <c r="C387" s="9" t="s">
        <v>60</v>
      </c>
      <c r="D387" s="6">
        <v>2.5</v>
      </c>
      <c r="E387" s="27">
        <f>4954.53</f>
        <v>4954.53</v>
      </c>
    </row>
    <row r="388" spans="1:5" ht="15" hidden="1">
      <c r="A388" s="4" t="s">
        <v>99</v>
      </c>
      <c r="B388" s="6" t="s">
        <v>123</v>
      </c>
      <c r="C388" s="9" t="s">
        <v>60</v>
      </c>
      <c r="D388" s="6"/>
      <c r="E388" s="27"/>
    </row>
    <row r="389" spans="1:5" ht="15">
      <c r="A389" s="4" t="s">
        <v>125</v>
      </c>
      <c r="B389" s="6" t="s">
        <v>93</v>
      </c>
      <c r="C389" s="9" t="s">
        <v>60</v>
      </c>
      <c r="D389" s="6">
        <v>2.2</v>
      </c>
      <c r="E389" s="27">
        <f>879.87</f>
        <v>879.87</v>
      </c>
    </row>
    <row r="390" spans="1:5" ht="15" hidden="1">
      <c r="A390" s="4" t="s">
        <v>125</v>
      </c>
      <c r="B390" s="6" t="s">
        <v>128</v>
      </c>
      <c r="C390" s="9" t="s">
        <v>60</v>
      </c>
      <c r="D390" s="6"/>
      <c r="E390" s="27"/>
    </row>
    <row r="391" spans="1:5" ht="15">
      <c r="A391" s="4" t="s">
        <v>129</v>
      </c>
      <c r="B391" s="6" t="s">
        <v>84</v>
      </c>
      <c r="C391" s="9" t="s">
        <v>60</v>
      </c>
      <c r="D391" s="6">
        <v>2</v>
      </c>
      <c r="E391" s="27">
        <f>2887.04</f>
        <v>2887.04</v>
      </c>
    </row>
    <row r="392" spans="1:5" ht="15" hidden="1">
      <c r="A392" s="4" t="s">
        <v>129</v>
      </c>
      <c r="B392" s="6" t="s">
        <v>87</v>
      </c>
      <c r="C392" s="9" t="s">
        <v>60</v>
      </c>
      <c r="D392" s="6"/>
      <c r="E392" s="27"/>
    </row>
    <row r="393" spans="1:5" ht="15">
      <c r="A393" s="4" t="s">
        <v>129</v>
      </c>
      <c r="B393" s="6" t="s">
        <v>88</v>
      </c>
      <c r="C393" s="9" t="s">
        <v>60</v>
      </c>
      <c r="D393" s="6">
        <f>2+2+4.5</f>
        <v>8.5</v>
      </c>
      <c r="E393" s="27">
        <f>2239.54+2887.04+12026.08</f>
        <v>17152.66</v>
      </c>
    </row>
    <row r="394" spans="1:5" ht="15" hidden="1">
      <c r="A394" s="4" t="s">
        <v>139</v>
      </c>
      <c r="B394" s="6" t="s">
        <v>96</v>
      </c>
      <c r="C394" s="9" t="s">
        <v>60</v>
      </c>
      <c r="D394" s="6"/>
      <c r="E394" s="27"/>
    </row>
    <row r="395" spans="1:5" ht="15">
      <c r="A395" s="4" t="s">
        <v>139</v>
      </c>
      <c r="B395" s="6" t="s">
        <v>106</v>
      </c>
      <c r="C395" s="9" t="s">
        <v>60</v>
      </c>
      <c r="D395" s="6">
        <f>2+0.5+0.5</f>
        <v>3</v>
      </c>
      <c r="E395" s="27">
        <f>2239.54+348.47+478.3</f>
        <v>3066.3100000000004</v>
      </c>
    </row>
    <row r="396" spans="1:5" ht="15">
      <c r="A396" s="4" t="s">
        <v>169</v>
      </c>
      <c r="B396" s="6" t="s">
        <v>94</v>
      </c>
      <c r="C396" s="9" t="s">
        <v>60</v>
      </c>
      <c r="D396" s="6">
        <v>0.9</v>
      </c>
      <c r="E396" s="27">
        <v>562.64</v>
      </c>
    </row>
    <row r="397" spans="1:5" ht="15">
      <c r="A397" s="4" t="s">
        <v>169</v>
      </c>
      <c r="B397" s="6" t="s">
        <v>96</v>
      </c>
      <c r="C397" s="9" t="s">
        <v>60</v>
      </c>
      <c r="D397" s="6">
        <f>1.2</f>
        <v>1.2</v>
      </c>
      <c r="E397" s="27">
        <f>1101</f>
        <v>1101</v>
      </c>
    </row>
    <row r="398" spans="1:5" ht="15">
      <c r="A398" s="4" t="s">
        <v>169</v>
      </c>
      <c r="B398" s="6" t="s">
        <v>106</v>
      </c>
      <c r="C398" s="9" t="s">
        <v>60</v>
      </c>
      <c r="D398" s="6">
        <f>1.2</f>
        <v>1.2</v>
      </c>
      <c r="E398" s="27">
        <f>811</f>
        <v>811</v>
      </c>
    </row>
    <row r="399" spans="1:5" ht="15">
      <c r="A399" s="4" t="s">
        <v>169</v>
      </c>
      <c r="B399" s="6" t="s">
        <v>112</v>
      </c>
      <c r="C399" s="9" t="s">
        <v>60</v>
      </c>
      <c r="D399" s="6">
        <f>2+1.5+2.7</f>
        <v>6.2</v>
      </c>
      <c r="E399" s="27">
        <f>2409.44+5600.27+914</f>
        <v>8923.710000000001</v>
      </c>
    </row>
    <row r="400" spans="1:5" ht="12.75">
      <c r="A400" s="15" t="s">
        <v>145</v>
      </c>
      <c r="B400" s="6"/>
      <c r="C400" s="9"/>
      <c r="D400" s="6"/>
      <c r="E400" s="28">
        <f>SUM(E373:E399)</f>
        <v>94285.79000000001</v>
      </c>
    </row>
    <row r="401" spans="1:5" ht="12.75">
      <c r="A401" s="45" t="s">
        <v>188</v>
      </c>
      <c r="B401" s="46"/>
      <c r="C401" s="46"/>
      <c r="D401" s="46"/>
      <c r="E401" s="47"/>
    </row>
    <row r="402" spans="1:5" ht="15">
      <c r="A402" s="4" t="s">
        <v>129</v>
      </c>
      <c r="B402" s="6" t="s">
        <v>136</v>
      </c>
      <c r="C402" s="9" t="s">
        <v>60</v>
      </c>
      <c r="D402" s="6">
        <v>47.5</v>
      </c>
      <c r="E402" s="27">
        <v>66500</v>
      </c>
    </row>
    <row r="403" spans="1:5" ht="12.75">
      <c r="A403" s="15" t="s">
        <v>145</v>
      </c>
      <c r="B403" s="6"/>
      <c r="C403" s="9"/>
      <c r="D403" s="6"/>
      <c r="E403" s="28">
        <f>SUM(E402:E402)</f>
        <v>66500</v>
      </c>
    </row>
    <row r="404" spans="1:5" ht="12.75">
      <c r="A404" s="45" t="s">
        <v>182</v>
      </c>
      <c r="B404" s="46"/>
      <c r="C404" s="46"/>
      <c r="D404" s="46"/>
      <c r="E404" s="47"/>
    </row>
    <row r="405" spans="1:5" ht="15" hidden="1">
      <c r="A405" s="4" t="s">
        <v>125</v>
      </c>
      <c r="B405" s="6" t="s">
        <v>128</v>
      </c>
      <c r="C405" s="9" t="s">
        <v>60</v>
      </c>
      <c r="D405" s="6"/>
      <c r="E405" s="27"/>
    </row>
    <row r="406" spans="1:5" ht="15" hidden="1">
      <c r="A406" s="4" t="s">
        <v>40</v>
      </c>
      <c r="B406" s="6" t="s">
        <v>52</v>
      </c>
      <c r="C406" s="9" t="s">
        <v>60</v>
      </c>
      <c r="D406" s="6"/>
      <c r="E406" s="27"/>
    </row>
    <row r="407" spans="1:5" ht="15" hidden="1">
      <c r="A407" s="4" t="s">
        <v>40</v>
      </c>
      <c r="B407" s="6" t="s">
        <v>54</v>
      </c>
      <c r="C407" s="9" t="s">
        <v>60</v>
      </c>
      <c r="D407" s="6"/>
      <c r="E407" s="27"/>
    </row>
    <row r="408" spans="1:5" ht="15" hidden="1">
      <c r="A408" s="4" t="s">
        <v>40</v>
      </c>
      <c r="B408" s="6" t="s">
        <v>55</v>
      </c>
      <c r="C408" s="9" t="s">
        <v>60</v>
      </c>
      <c r="D408" s="6"/>
      <c r="E408" s="27"/>
    </row>
    <row r="409" spans="1:5" ht="15" hidden="1">
      <c r="A409" s="4" t="s">
        <v>40</v>
      </c>
      <c r="B409" s="6" t="s">
        <v>72</v>
      </c>
      <c r="C409" s="9" t="s">
        <v>60</v>
      </c>
      <c r="D409" s="6"/>
      <c r="E409" s="27"/>
    </row>
    <row r="410" spans="1:5" ht="15" hidden="1">
      <c r="A410" s="4" t="s">
        <v>40</v>
      </c>
      <c r="B410" s="6" t="s">
        <v>73</v>
      </c>
      <c r="C410" s="9" t="s">
        <v>60</v>
      </c>
      <c r="D410" s="6"/>
      <c r="E410" s="27"/>
    </row>
    <row r="411" spans="1:5" ht="15" hidden="1">
      <c r="A411" s="4" t="s">
        <v>40</v>
      </c>
      <c r="B411" s="6" t="s">
        <v>74</v>
      </c>
      <c r="C411" s="9" t="s">
        <v>60</v>
      </c>
      <c r="D411" s="6"/>
      <c r="E411" s="27"/>
    </row>
    <row r="412" spans="1:5" ht="15">
      <c r="A412" s="4" t="s">
        <v>183</v>
      </c>
      <c r="B412" s="6" t="s">
        <v>96</v>
      </c>
      <c r="C412" s="9" t="s">
        <v>60</v>
      </c>
      <c r="D412" s="6">
        <v>40</v>
      </c>
      <c r="E412" s="27">
        <f>6964.83</f>
        <v>6964.83</v>
      </c>
    </row>
    <row r="413" spans="1:5" ht="12.75">
      <c r="A413" s="15" t="s">
        <v>145</v>
      </c>
      <c r="B413" s="6"/>
      <c r="C413" s="9"/>
      <c r="D413" s="6"/>
      <c r="E413" s="28">
        <f>SUM(E405:E412)</f>
        <v>6964.83</v>
      </c>
    </row>
    <row r="414" spans="1:5" ht="12.75" hidden="1">
      <c r="A414" s="23"/>
      <c r="B414" s="8"/>
      <c r="C414" s="22"/>
      <c r="D414" s="8"/>
      <c r="E414" s="31"/>
    </row>
    <row r="415" spans="1:5" ht="12.75" hidden="1">
      <c r="A415" s="23"/>
      <c r="B415" s="8"/>
      <c r="C415" s="22"/>
      <c r="D415" s="8"/>
      <c r="E415" s="31"/>
    </row>
    <row r="416" spans="1:5" ht="12.75" hidden="1">
      <c r="A416" s="23"/>
      <c r="B416" s="8"/>
      <c r="C416" s="22"/>
      <c r="D416" s="8"/>
      <c r="E416" s="31"/>
    </row>
    <row r="417" spans="1:5" ht="12.75" hidden="1">
      <c r="A417" s="23"/>
      <c r="B417" s="8"/>
      <c r="C417" s="22"/>
      <c r="D417" s="8"/>
      <c r="E417" s="31"/>
    </row>
    <row r="418" spans="1:5" ht="12.75">
      <c r="A418" s="45" t="s">
        <v>26</v>
      </c>
      <c r="B418" s="46"/>
      <c r="C418" s="46"/>
      <c r="D418" s="46"/>
      <c r="E418" s="47"/>
    </row>
    <row r="419" spans="1:5" ht="12.75">
      <c r="A419" s="4" t="s">
        <v>48</v>
      </c>
      <c r="B419" s="6" t="s">
        <v>61</v>
      </c>
      <c r="C419" s="9" t="s">
        <v>44</v>
      </c>
      <c r="D419" s="6">
        <v>1</v>
      </c>
      <c r="E419" s="27">
        <v>800.14</v>
      </c>
    </row>
    <row r="420" spans="1:5" ht="12.75">
      <c r="A420" s="4" t="s">
        <v>48</v>
      </c>
      <c r="B420" s="6" t="s">
        <v>79</v>
      </c>
      <c r="C420" s="9" t="s">
        <v>44</v>
      </c>
      <c r="D420" s="6">
        <v>1</v>
      </c>
      <c r="E420" s="27">
        <v>1404.18</v>
      </c>
    </row>
    <row r="421" spans="1:5" ht="12.75">
      <c r="A421" s="4" t="s">
        <v>129</v>
      </c>
      <c r="B421" s="6" t="s">
        <v>130</v>
      </c>
      <c r="C421" s="9" t="s">
        <v>44</v>
      </c>
      <c r="D421" s="6">
        <v>1</v>
      </c>
      <c r="E421" s="27">
        <v>764.62</v>
      </c>
    </row>
    <row r="422" spans="1:5" ht="12.75">
      <c r="A422" s="4" t="s">
        <v>129</v>
      </c>
      <c r="B422" s="6" t="s">
        <v>136</v>
      </c>
      <c r="C422" s="9" t="s">
        <v>44</v>
      </c>
      <c r="D422" s="6">
        <v>1</v>
      </c>
      <c r="E422" s="27">
        <v>2335.83</v>
      </c>
    </row>
    <row r="423" spans="1:5" ht="12.75" hidden="1">
      <c r="A423" s="4" t="s">
        <v>125</v>
      </c>
      <c r="B423" s="6" t="s">
        <v>128</v>
      </c>
      <c r="C423" s="9" t="s">
        <v>44</v>
      </c>
      <c r="D423" s="6"/>
      <c r="E423" s="27"/>
    </row>
    <row r="424" spans="1:5" ht="12.75">
      <c r="A424" s="4" t="s">
        <v>83</v>
      </c>
      <c r="B424" s="6" t="s">
        <v>84</v>
      </c>
      <c r="C424" s="9" t="s">
        <v>44</v>
      </c>
      <c r="D424" s="6">
        <v>1</v>
      </c>
      <c r="E424" s="27">
        <v>423.05</v>
      </c>
    </row>
    <row r="425" spans="1:5" ht="12.75">
      <c r="A425" s="4" t="s">
        <v>143</v>
      </c>
      <c r="B425" s="6" t="s">
        <v>94</v>
      </c>
      <c r="C425" s="9" t="s">
        <v>44</v>
      </c>
      <c r="D425" s="6">
        <v>1</v>
      </c>
      <c r="E425" s="27">
        <f>5289</f>
        <v>5289</v>
      </c>
    </row>
    <row r="426" spans="1:5" ht="12.75">
      <c r="A426" s="4" t="s">
        <v>143</v>
      </c>
      <c r="B426" s="6" t="s">
        <v>106</v>
      </c>
      <c r="C426" s="9" t="s">
        <v>44</v>
      </c>
      <c r="D426" s="6">
        <v>1</v>
      </c>
      <c r="E426" s="27">
        <f>3533</f>
        <v>3533</v>
      </c>
    </row>
    <row r="427" spans="1:5" ht="12.75">
      <c r="A427" s="15" t="s">
        <v>145</v>
      </c>
      <c r="B427" s="6"/>
      <c r="C427" s="9"/>
      <c r="D427" s="6"/>
      <c r="E427" s="28">
        <f>SUM(E419:E426)</f>
        <v>14549.82</v>
      </c>
    </row>
    <row r="428" spans="1:5" ht="12.75" hidden="1">
      <c r="A428" s="4"/>
      <c r="B428" s="5"/>
      <c r="C428" s="5"/>
      <c r="D428" s="5"/>
      <c r="E428" s="27"/>
    </row>
    <row r="429" spans="1:5" ht="12.75">
      <c r="A429" s="45" t="s">
        <v>27</v>
      </c>
      <c r="B429" s="46"/>
      <c r="C429" s="46"/>
      <c r="D429" s="46"/>
      <c r="E429" s="47"/>
    </row>
    <row r="430" spans="1:5" ht="12.75" hidden="1">
      <c r="A430" s="4" t="s">
        <v>40</v>
      </c>
      <c r="B430" s="6" t="s">
        <v>41</v>
      </c>
      <c r="C430" s="9" t="s">
        <v>44</v>
      </c>
      <c r="D430" s="19"/>
      <c r="E430" s="32"/>
    </row>
    <row r="431" spans="1:5" ht="15" hidden="1">
      <c r="A431" s="4" t="s">
        <v>40</v>
      </c>
      <c r="B431" s="6" t="s">
        <v>41</v>
      </c>
      <c r="C431" s="9" t="s">
        <v>60</v>
      </c>
      <c r="D431" s="19"/>
      <c r="E431" s="32"/>
    </row>
    <row r="432" spans="1:5" ht="15">
      <c r="A432" s="4" t="s">
        <v>40</v>
      </c>
      <c r="B432" s="6" t="s">
        <v>61</v>
      </c>
      <c r="C432" s="9" t="s">
        <v>60</v>
      </c>
      <c r="D432" s="6">
        <f>10+8.6</f>
        <v>18.6</v>
      </c>
      <c r="E432" s="27">
        <f>3919.23+3652.5</f>
        <v>7571.73</v>
      </c>
    </row>
    <row r="433" spans="1:5" ht="15" hidden="1">
      <c r="A433" s="4" t="s">
        <v>40</v>
      </c>
      <c r="B433" s="6" t="s">
        <v>68</v>
      </c>
      <c r="C433" s="9" t="s">
        <v>60</v>
      </c>
      <c r="D433" s="6"/>
      <c r="E433" s="27"/>
    </row>
    <row r="434" spans="1:5" ht="15" hidden="1">
      <c r="A434" s="4" t="s">
        <v>83</v>
      </c>
      <c r="B434" s="6" t="s">
        <v>84</v>
      </c>
      <c r="C434" s="9" t="s">
        <v>60</v>
      </c>
      <c r="D434" s="6"/>
      <c r="E434" s="30"/>
    </row>
    <row r="435" spans="1:5" ht="15">
      <c r="A435" s="4" t="s">
        <v>99</v>
      </c>
      <c r="B435" s="6" t="s">
        <v>93</v>
      </c>
      <c r="C435" s="9" t="s">
        <v>60</v>
      </c>
      <c r="D435" s="6">
        <f>5</f>
        <v>5</v>
      </c>
      <c r="E435" s="27">
        <f>2758.45</f>
        <v>2758.45</v>
      </c>
    </row>
    <row r="436" spans="1:5" ht="15" hidden="1">
      <c r="A436" s="4" t="s">
        <v>99</v>
      </c>
      <c r="B436" s="6" t="s">
        <v>95</v>
      </c>
      <c r="C436" s="9" t="s">
        <v>60</v>
      </c>
      <c r="D436" s="6"/>
      <c r="E436" s="27"/>
    </row>
    <row r="437" spans="1:5" ht="15">
      <c r="A437" s="4" t="s">
        <v>99</v>
      </c>
      <c r="B437" s="6" t="s">
        <v>96</v>
      </c>
      <c r="C437" s="9" t="s">
        <v>60</v>
      </c>
      <c r="D437" s="6">
        <v>10</v>
      </c>
      <c r="E437" s="27">
        <v>3919.23</v>
      </c>
    </row>
    <row r="438" spans="1:5" ht="15" hidden="1">
      <c r="A438" s="4" t="s">
        <v>99</v>
      </c>
      <c r="B438" s="6" t="s">
        <v>106</v>
      </c>
      <c r="C438" s="9" t="s">
        <v>60</v>
      </c>
      <c r="D438" s="6"/>
      <c r="E438" s="27"/>
    </row>
    <row r="439" spans="1:5" ht="15" hidden="1">
      <c r="A439" s="4" t="s">
        <v>99</v>
      </c>
      <c r="B439" s="6" t="s">
        <v>107</v>
      </c>
      <c r="C439" s="9" t="s">
        <v>60</v>
      </c>
      <c r="D439" s="6"/>
      <c r="E439" s="27"/>
    </row>
    <row r="440" spans="1:5" ht="15" hidden="1">
      <c r="A440" s="4" t="s">
        <v>99</v>
      </c>
      <c r="B440" s="6" t="s">
        <v>108</v>
      </c>
      <c r="C440" s="9" t="s">
        <v>60</v>
      </c>
      <c r="D440" s="6"/>
      <c r="E440" s="27"/>
    </row>
    <row r="441" spans="1:5" ht="15">
      <c r="A441" s="4" t="s">
        <v>99</v>
      </c>
      <c r="B441" s="6" t="s">
        <v>110</v>
      </c>
      <c r="C441" s="9" t="s">
        <v>60</v>
      </c>
      <c r="D441" s="6">
        <f>8.6</f>
        <v>8.6</v>
      </c>
      <c r="E441" s="27">
        <f>3693.6</f>
        <v>3693.6</v>
      </c>
    </row>
    <row r="442" spans="1:5" ht="15">
      <c r="A442" s="4" t="s">
        <v>99</v>
      </c>
      <c r="B442" s="6" t="s">
        <v>112</v>
      </c>
      <c r="C442" s="9" t="s">
        <v>60</v>
      </c>
      <c r="D442" s="6">
        <f>10+0.5</f>
        <v>10.5</v>
      </c>
      <c r="E442" s="27">
        <f>3919.23+806.9</f>
        <v>4726.13</v>
      </c>
    </row>
    <row r="443" spans="1:5" ht="15">
      <c r="A443" s="4" t="s">
        <v>99</v>
      </c>
      <c r="B443" s="6" t="s">
        <v>117</v>
      </c>
      <c r="C443" s="9" t="s">
        <v>60</v>
      </c>
      <c r="D443" s="19">
        <v>8.6</v>
      </c>
      <c r="E443" s="32">
        <v>3304.95</v>
      </c>
    </row>
    <row r="444" spans="1:5" ht="15">
      <c r="A444" s="4" t="s">
        <v>99</v>
      </c>
      <c r="B444" s="6" t="s">
        <v>118</v>
      </c>
      <c r="C444" s="9" t="s">
        <v>60</v>
      </c>
      <c r="D444" s="19">
        <f>8.6+10</f>
        <v>18.6</v>
      </c>
      <c r="E444" s="32">
        <f>3304.95+3919.23</f>
        <v>7224.18</v>
      </c>
    </row>
    <row r="445" spans="1:5" ht="15">
      <c r="A445" s="4" t="s">
        <v>129</v>
      </c>
      <c r="B445" s="6" t="s">
        <v>131</v>
      </c>
      <c r="C445" s="9" t="s">
        <v>60</v>
      </c>
      <c r="D445" s="19">
        <v>2.5</v>
      </c>
      <c r="E445" s="32">
        <f>1291</f>
        <v>1291</v>
      </c>
    </row>
    <row r="446" spans="1:5" ht="15" hidden="1">
      <c r="A446" s="4" t="s">
        <v>129</v>
      </c>
      <c r="B446" s="6" t="s">
        <v>88</v>
      </c>
      <c r="C446" s="9" t="s">
        <v>60</v>
      </c>
      <c r="D446" s="19"/>
      <c r="E446" s="32"/>
    </row>
    <row r="447" spans="1:5" ht="12.75" hidden="1">
      <c r="A447" s="4" t="s">
        <v>129</v>
      </c>
      <c r="B447" s="6" t="s">
        <v>89</v>
      </c>
      <c r="C447" s="9" t="s">
        <v>44</v>
      </c>
      <c r="D447" s="19"/>
      <c r="E447" s="32"/>
    </row>
    <row r="448" spans="1:5" ht="12.75">
      <c r="A448" s="4" t="s">
        <v>129</v>
      </c>
      <c r="B448" s="6" t="s">
        <v>136</v>
      </c>
      <c r="C448" s="9" t="s">
        <v>44</v>
      </c>
      <c r="D448" s="19">
        <v>23</v>
      </c>
      <c r="E448" s="32">
        <v>15903</v>
      </c>
    </row>
    <row r="449" spans="1:5" ht="15">
      <c r="A449" s="4" t="s">
        <v>129</v>
      </c>
      <c r="B449" s="6" t="s">
        <v>135</v>
      </c>
      <c r="C449" s="9" t="s">
        <v>60</v>
      </c>
      <c r="D449" s="6">
        <v>0.6</v>
      </c>
      <c r="E449" s="27">
        <f>725.05</f>
        <v>725.05</v>
      </c>
    </row>
    <row r="450" spans="1:5" ht="12.75" hidden="1">
      <c r="A450" s="4"/>
      <c r="B450" s="6"/>
      <c r="C450" s="9"/>
      <c r="D450" s="6"/>
      <c r="E450" s="27"/>
    </row>
    <row r="451" spans="1:5" ht="12.75">
      <c r="A451" s="15" t="s">
        <v>145</v>
      </c>
      <c r="B451" s="6"/>
      <c r="C451" s="9"/>
      <c r="D451" s="6"/>
      <c r="E451" s="28">
        <f>SUM(E430:E450)</f>
        <v>51117.32000000001</v>
      </c>
    </row>
    <row r="452" spans="1:5" ht="12.75">
      <c r="A452" s="45" t="s">
        <v>153</v>
      </c>
      <c r="B452" s="46"/>
      <c r="C452" s="46"/>
      <c r="D452" s="46"/>
      <c r="E452" s="47"/>
    </row>
    <row r="453" spans="1:5" ht="12.75">
      <c r="A453" s="4" t="s">
        <v>99</v>
      </c>
      <c r="B453" s="6" t="s">
        <v>107</v>
      </c>
      <c r="C453" s="9" t="s">
        <v>43</v>
      </c>
      <c r="D453" s="6">
        <v>10</v>
      </c>
      <c r="E453" s="30">
        <f>6242</f>
        <v>6242</v>
      </c>
    </row>
    <row r="454" spans="1:5" ht="12.75">
      <c r="A454" s="4" t="s">
        <v>99</v>
      </c>
      <c r="B454" s="6" t="s">
        <v>110</v>
      </c>
      <c r="C454" s="9" t="s">
        <v>43</v>
      </c>
      <c r="D454" s="6">
        <v>252</v>
      </c>
      <c r="E454" s="30">
        <f>56539.85</f>
        <v>56539.85</v>
      </c>
    </row>
    <row r="455" spans="1:5" ht="12.75">
      <c r="A455" s="4" t="s">
        <v>138</v>
      </c>
      <c r="B455" s="6" t="s">
        <v>108</v>
      </c>
      <c r="C455" s="9" t="s">
        <v>43</v>
      </c>
      <c r="D455" s="6">
        <v>50</v>
      </c>
      <c r="E455" s="43">
        <f>6979.04</f>
        <v>6979.04</v>
      </c>
    </row>
    <row r="456" spans="1:5" ht="12.75">
      <c r="A456" s="4" t="s">
        <v>48</v>
      </c>
      <c r="B456" s="6" t="s">
        <v>192</v>
      </c>
      <c r="C456" s="9" t="s">
        <v>43</v>
      </c>
      <c r="D456" s="6">
        <v>8</v>
      </c>
      <c r="E456" s="43">
        <v>14696</v>
      </c>
    </row>
    <row r="457" spans="1:5" ht="12.75">
      <c r="A457" s="4" t="s">
        <v>142</v>
      </c>
      <c r="B457" s="6" t="s">
        <v>176</v>
      </c>
      <c r="C457" s="9" t="s">
        <v>43</v>
      </c>
      <c r="D457" s="6">
        <v>2</v>
      </c>
      <c r="E457" s="43">
        <f>4768</f>
        <v>4768</v>
      </c>
    </row>
    <row r="458" spans="1:5" ht="12.75">
      <c r="A458" s="15" t="s">
        <v>145</v>
      </c>
      <c r="B458" s="6"/>
      <c r="C458" s="9"/>
      <c r="D458" s="6"/>
      <c r="E458" s="31">
        <f>SUM(E453:E457)</f>
        <v>89224.89</v>
      </c>
    </row>
    <row r="459" spans="1:5" ht="12.75" hidden="1">
      <c r="A459" s="23"/>
      <c r="B459" s="8"/>
      <c r="C459" s="22"/>
      <c r="D459" s="8"/>
      <c r="E459" s="31"/>
    </row>
    <row r="460" spans="1:5" ht="12.75" hidden="1">
      <c r="A460" s="23"/>
      <c r="B460" s="8"/>
      <c r="C460" s="22"/>
      <c r="D460" s="8"/>
      <c r="E460" s="31"/>
    </row>
    <row r="461" spans="1:5" ht="12.75">
      <c r="A461" s="45" t="s">
        <v>157</v>
      </c>
      <c r="B461" s="46"/>
      <c r="C461" s="46"/>
      <c r="D461" s="46"/>
      <c r="E461" s="47"/>
    </row>
    <row r="462" spans="1:5" ht="15">
      <c r="A462" s="4" t="s">
        <v>40</v>
      </c>
      <c r="B462" s="6" t="s">
        <v>41</v>
      </c>
      <c r="C462" s="9" t="s">
        <v>60</v>
      </c>
      <c r="D462" s="6">
        <f>40+30+40+40+40+40+20+40+20</f>
        <v>310</v>
      </c>
      <c r="E462" s="27">
        <f>1150.83+1989.2+1205.58+1205.58+1205.58+1205.58+321.64+642.9+609.08</f>
        <v>9535.97</v>
      </c>
    </row>
    <row r="463" spans="1:5" ht="15">
      <c r="A463" s="4" t="s">
        <v>40</v>
      </c>
      <c r="B463" s="6" t="s">
        <v>52</v>
      </c>
      <c r="C463" s="9" t="s">
        <v>60</v>
      </c>
      <c r="D463" s="6">
        <f>2</f>
        <v>2</v>
      </c>
      <c r="E463" s="27">
        <f>708.55</f>
        <v>708.55</v>
      </c>
    </row>
    <row r="464" spans="1:5" ht="15">
      <c r="A464" s="4" t="s">
        <v>40</v>
      </c>
      <c r="B464" s="6" t="s">
        <v>54</v>
      </c>
      <c r="C464" s="9" t="s">
        <v>60</v>
      </c>
      <c r="D464" s="6">
        <f>2</f>
        <v>2</v>
      </c>
      <c r="E464" s="27">
        <f>708.55</f>
        <v>708.55</v>
      </c>
    </row>
    <row r="465" spans="1:5" ht="15">
      <c r="A465" s="4" t="s">
        <v>40</v>
      </c>
      <c r="B465" s="6" t="s">
        <v>59</v>
      </c>
      <c r="C465" s="9" t="s">
        <v>60</v>
      </c>
      <c r="D465" s="6">
        <f>20+20</f>
        <v>40</v>
      </c>
      <c r="E465" s="27">
        <f>1138.24+2827.24</f>
        <v>3965.4799999999996</v>
      </c>
    </row>
    <row r="466" spans="1:5" ht="15">
      <c r="A466" s="4" t="s">
        <v>40</v>
      </c>
      <c r="B466" s="6" t="s">
        <v>61</v>
      </c>
      <c r="C466" s="9" t="s">
        <v>60</v>
      </c>
      <c r="D466" s="6">
        <f>3+40+40+40+40+40</f>
        <v>203</v>
      </c>
      <c r="E466" s="27">
        <f>649.32+1937.9+1205.58+1205.58+642.9+642.9</f>
        <v>6284.179999999999</v>
      </c>
    </row>
    <row r="467" spans="1:5" ht="15">
      <c r="A467" s="4" t="s">
        <v>40</v>
      </c>
      <c r="B467" s="6" t="s">
        <v>62</v>
      </c>
      <c r="C467" s="9" t="s">
        <v>60</v>
      </c>
      <c r="D467" s="6">
        <v>120</v>
      </c>
      <c r="E467" s="27">
        <v>5814.05</v>
      </c>
    </row>
    <row r="468" spans="1:5" ht="15">
      <c r="A468" s="4" t="s">
        <v>40</v>
      </c>
      <c r="B468" s="6" t="s">
        <v>66</v>
      </c>
      <c r="C468" s="9" t="s">
        <v>60</v>
      </c>
      <c r="D468" s="6">
        <v>20</v>
      </c>
      <c r="E468" s="27">
        <f>969.14</f>
        <v>969.14</v>
      </c>
    </row>
    <row r="469" spans="1:5" ht="15">
      <c r="A469" s="4" t="s">
        <v>40</v>
      </c>
      <c r="B469" s="6" t="s">
        <v>68</v>
      </c>
      <c r="C469" s="9" t="s">
        <v>60</v>
      </c>
      <c r="D469" s="6">
        <f>10+40</f>
        <v>50</v>
      </c>
      <c r="E469" s="27">
        <f>1413.63+642.9</f>
        <v>2056.53</v>
      </c>
    </row>
    <row r="470" spans="1:5" ht="15">
      <c r="A470" s="4" t="s">
        <v>40</v>
      </c>
      <c r="B470" s="6" t="s">
        <v>72</v>
      </c>
      <c r="C470" s="9" t="s">
        <v>60</v>
      </c>
      <c r="D470" s="6">
        <f>2</f>
        <v>2</v>
      </c>
      <c r="E470" s="27">
        <f>708.55</f>
        <v>708.55</v>
      </c>
    </row>
    <row r="471" spans="1:5" ht="15">
      <c r="A471" s="4" t="s">
        <v>40</v>
      </c>
      <c r="B471" s="6" t="s">
        <v>73</v>
      </c>
      <c r="C471" s="9" t="s">
        <v>60</v>
      </c>
      <c r="D471" s="6">
        <f>2</f>
        <v>2</v>
      </c>
      <c r="E471" s="27">
        <f>708.55</f>
        <v>708.55</v>
      </c>
    </row>
    <row r="472" spans="1:5" ht="15">
      <c r="A472" s="4" t="s">
        <v>40</v>
      </c>
      <c r="B472" s="6" t="s">
        <v>74</v>
      </c>
      <c r="C472" s="9" t="s">
        <v>60</v>
      </c>
      <c r="D472" s="6">
        <f>2</f>
        <v>2</v>
      </c>
      <c r="E472" s="27">
        <f>708.55</f>
        <v>708.55</v>
      </c>
    </row>
    <row r="473" spans="1:5" ht="15">
      <c r="A473" s="4" t="s">
        <v>40</v>
      </c>
      <c r="B473" s="6" t="s">
        <v>75</v>
      </c>
      <c r="C473" s="9" t="s">
        <v>60</v>
      </c>
      <c r="D473" s="6">
        <f>3+2+20</f>
        <v>25</v>
      </c>
      <c r="E473" s="27">
        <f>649.32+1495.93+1616.64</f>
        <v>3761.8900000000003</v>
      </c>
    </row>
    <row r="474" spans="1:5" ht="15">
      <c r="A474" s="4" t="s">
        <v>40</v>
      </c>
      <c r="B474" s="6" t="s">
        <v>78</v>
      </c>
      <c r="C474" s="9" t="s">
        <v>60</v>
      </c>
      <c r="D474" s="6">
        <f>20+40+2+2+20+20+20+20+20</f>
        <v>164</v>
      </c>
      <c r="E474" s="27">
        <f>1138.24+1937.9+1495.93+1495.93+1616.64+1616.64+969.14+969.14+969.14</f>
        <v>12208.699999999999</v>
      </c>
    </row>
    <row r="475" spans="1:5" ht="15">
      <c r="A475" s="4" t="s">
        <v>40</v>
      </c>
      <c r="B475" s="6" t="s">
        <v>79</v>
      </c>
      <c r="C475" s="9" t="s">
        <v>60</v>
      </c>
      <c r="D475" s="6">
        <f>3+2</f>
        <v>5</v>
      </c>
      <c r="E475" s="27">
        <f>649.32+708.55</f>
        <v>1357.87</v>
      </c>
    </row>
    <row r="476" spans="1:5" ht="15">
      <c r="A476" s="4" t="s">
        <v>40</v>
      </c>
      <c r="B476" s="6" t="s">
        <v>80</v>
      </c>
      <c r="C476" s="9" t="s">
        <v>60</v>
      </c>
      <c r="D476" s="6">
        <f>10+2</f>
        <v>12</v>
      </c>
      <c r="E476" s="27">
        <f>1413.63+708.55</f>
        <v>2122.1800000000003</v>
      </c>
    </row>
    <row r="477" spans="1:5" ht="15" hidden="1">
      <c r="A477" s="4" t="s">
        <v>83</v>
      </c>
      <c r="B477" s="6" t="s">
        <v>84</v>
      </c>
      <c r="C477" s="9" t="s">
        <v>60</v>
      </c>
      <c r="D477" s="6"/>
      <c r="E477" s="27"/>
    </row>
    <row r="478" spans="1:5" ht="15">
      <c r="A478" s="4" t="s">
        <v>83</v>
      </c>
      <c r="B478" s="6" t="s">
        <v>85</v>
      </c>
      <c r="C478" s="9" t="s">
        <v>60</v>
      </c>
      <c r="D478" s="6">
        <v>2</v>
      </c>
      <c r="E478" s="27">
        <v>708.55</v>
      </c>
    </row>
    <row r="479" spans="1:5" ht="15">
      <c r="A479" s="4" t="s">
        <v>83</v>
      </c>
      <c r="B479" s="6" t="s">
        <v>89</v>
      </c>
      <c r="C479" s="9" t="s">
        <v>60</v>
      </c>
      <c r="D479" s="6">
        <f>10+2</f>
        <v>12</v>
      </c>
      <c r="E479" s="27">
        <f>1413.63+708.55</f>
        <v>2122.1800000000003</v>
      </c>
    </row>
    <row r="480" spans="1:5" ht="15">
      <c r="A480" s="4" t="s">
        <v>83</v>
      </c>
      <c r="B480" s="6" t="s">
        <v>41</v>
      </c>
      <c r="C480" s="9" t="s">
        <v>60</v>
      </c>
      <c r="D480" s="6">
        <f>3+40+40+20+40</f>
        <v>143</v>
      </c>
      <c r="E480" s="27">
        <f>649.32+1150.83+1937.9+969.14+642.9</f>
        <v>5350.09</v>
      </c>
    </row>
    <row r="481" spans="1:5" ht="15">
      <c r="A481" s="4" t="s">
        <v>83</v>
      </c>
      <c r="B481" s="6" t="s">
        <v>52</v>
      </c>
      <c r="C481" s="9" t="s">
        <v>60</v>
      </c>
      <c r="D481" s="6">
        <f>2</f>
        <v>2</v>
      </c>
      <c r="E481" s="27">
        <f>1495.93</f>
        <v>1495.93</v>
      </c>
    </row>
    <row r="482" spans="1:5" ht="15">
      <c r="A482" s="4" t="s">
        <v>92</v>
      </c>
      <c r="B482" s="6" t="s">
        <v>93</v>
      </c>
      <c r="C482" s="9" t="s">
        <v>60</v>
      </c>
      <c r="D482" s="6">
        <f>40</f>
        <v>40</v>
      </c>
      <c r="E482" s="27">
        <f>1150.83</f>
        <v>1150.83</v>
      </c>
    </row>
    <row r="483" spans="1:5" ht="15">
      <c r="A483" s="4" t="s">
        <v>92</v>
      </c>
      <c r="B483" s="6" t="s">
        <v>94</v>
      </c>
      <c r="C483" s="9" t="s">
        <v>60</v>
      </c>
      <c r="D483" s="6">
        <f>40+40+40</f>
        <v>120</v>
      </c>
      <c r="E483" s="27">
        <f>1937.9+1205.58+1205.58</f>
        <v>4349.0599999999995</v>
      </c>
    </row>
    <row r="484" spans="1:5" ht="15">
      <c r="A484" s="4" t="s">
        <v>92</v>
      </c>
      <c r="B484" s="6" t="s">
        <v>96</v>
      </c>
      <c r="C484" s="9" t="s">
        <v>60</v>
      </c>
      <c r="D484" s="6">
        <f>40</f>
        <v>40</v>
      </c>
      <c r="E484" s="27">
        <f>1150.83</f>
        <v>1150.83</v>
      </c>
    </row>
    <row r="485" spans="1:5" ht="15">
      <c r="A485" s="4" t="s">
        <v>99</v>
      </c>
      <c r="B485" s="6" t="s">
        <v>93</v>
      </c>
      <c r="C485" s="9" t="s">
        <v>60</v>
      </c>
      <c r="D485" s="6">
        <f>40+40+40+40+40</f>
        <v>200</v>
      </c>
      <c r="E485" s="27">
        <f>1150.83+1150.83+1205.58+1205.58+642.9</f>
        <v>5355.719999999999</v>
      </c>
    </row>
    <row r="486" spans="1:5" ht="15">
      <c r="A486" s="4" t="s">
        <v>99</v>
      </c>
      <c r="B486" s="6" t="s">
        <v>95</v>
      </c>
      <c r="C486" s="9" t="s">
        <v>60</v>
      </c>
      <c r="D486" s="6">
        <f>40+40+40+60+40+40+40</f>
        <v>300</v>
      </c>
      <c r="E486" s="27">
        <f>1150.83+1150.83+1150.83+2852.07+1937.9+1205.58+1205.58</f>
        <v>10653.619999999999</v>
      </c>
    </row>
    <row r="487" spans="1:5" ht="15">
      <c r="A487" s="4" t="s">
        <v>99</v>
      </c>
      <c r="B487" s="6" t="s">
        <v>103</v>
      </c>
      <c r="C487" s="9" t="s">
        <v>60</v>
      </c>
      <c r="D487" s="6">
        <f>40+40+10</f>
        <v>90</v>
      </c>
      <c r="E487" s="27">
        <f>1150.83+1150.83+1413.63</f>
        <v>3715.29</v>
      </c>
    </row>
    <row r="488" spans="1:5" ht="15">
      <c r="A488" s="4" t="s">
        <v>99</v>
      </c>
      <c r="B488" s="6" t="s">
        <v>96</v>
      </c>
      <c r="C488" s="9" t="s">
        <v>60</v>
      </c>
      <c r="D488" s="6">
        <f>40+40</f>
        <v>80</v>
      </c>
      <c r="E488" s="27">
        <f>1150.83+1150.83</f>
        <v>2301.66</v>
      </c>
    </row>
    <row r="489" spans="1:5" ht="15">
      <c r="A489" s="4" t="s">
        <v>99</v>
      </c>
      <c r="B489" s="6" t="s">
        <v>106</v>
      </c>
      <c r="C489" s="9" t="s">
        <v>60</v>
      </c>
      <c r="D489" s="6">
        <f>40+3+40+40</f>
        <v>123</v>
      </c>
      <c r="E489" s="27">
        <f>1150.83+649.32+1150.83+1205.58</f>
        <v>4156.5599999999995</v>
      </c>
    </row>
    <row r="490" spans="1:5" ht="15">
      <c r="A490" s="4" t="s">
        <v>99</v>
      </c>
      <c r="B490" s="6" t="s">
        <v>107</v>
      </c>
      <c r="C490" s="9" t="s">
        <v>60</v>
      </c>
      <c r="D490" s="6">
        <f>40+40+40</f>
        <v>120</v>
      </c>
      <c r="E490" s="27">
        <f>1150.83+1937.9+1205.58</f>
        <v>4294.3099999999995</v>
      </c>
    </row>
    <row r="491" spans="1:5" ht="15">
      <c r="A491" s="4" t="s">
        <v>99</v>
      </c>
      <c r="B491" s="6" t="s">
        <v>108</v>
      </c>
      <c r="C491" s="9" t="s">
        <v>60</v>
      </c>
      <c r="D491" s="6">
        <f>40+2</f>
        <v>42</v>
      </c>
      <c r="E491" s="27">
        <f>1150.83+708.55</f>
        <v>1859.3799999999999</v>
      </c>
    </row>
    <row r="492" spans="1:5" ht="15">
      <c r="A492" s="4" t="s">
        <v>99</v>
      </c>
      <c r="B492" s="6" t="s">
        <v>110</v>
      </c>
      <c r="C492" s="9" t="s">
        <v>60</v>
      </c>
      <c r="D492" s="6">
        <f>40+40+2+40+40</f>
        <v>162</v>
      </c>
      <c r="E492" s="27">
        <f>1150.83+1205.58+1495.93+1205.58+1937.9</f>
        <v>6995.82</v>
      </c>
    </row>
    <row r="493" spans="1:5" ht="15">
      <c r="A493" s="4" t="s">
        <v>99</v>
      </c>
      <c r="B493" s="6" t="s">
        <v>112</v>
      </c>
      <c r="C493" s="9" t="s">
        <v>60</v>
      </c>
      <c r="D493" s="6">
        <f>30+40+40+40+40+40+20</f>
        <v>250</v>
      </c>
      <c r="E493" s="27">
        <f>1989.2+1150.83+1150.83+1937.9+1205.58+1205.58+609.08</f>
        <v>9249</v>
      </c>
    </row>
    <row r="494" spans="1:5" ht="15">
      <c r="A494" s="4" t="s">
        <v>99</v>
      </c>
      <c r="B494" s="6" t="s">
        <v>116</v>
      </c>
      <c r="C494" s="9" t="s">
        <v>60</v>
      </c>
      <c r="D494" s="6">
        <f>10</f>
        <v>10</v>
      </c>
      <c r="E494" s="27">
        <f>1413.63</f>
        <v>1413.63</v>
      </c>
    </row>
    <row r="495" spans="1:5" ht="15">
      <c r="A495" s="4" t="s">
        <v>99</v>
      </c>
      <c r="B495" s="6" t="s">
        <v>117</v>
      </c>
      <c r="C495" s="9" t="s">
        <v>60</v>
      </c>
      <c r="D495" s="6">
        <f>40</f>
        <v>40</v>
      </c>
      <c r="E495" s="27">
        <f>1150.83</f>
        <v>1150.83</v>
      </c>
    </row>
    <row r="496" spans="1:5" ht="15">
      <c r="A496" s="4" t="s">
        <v>99</v>
      </c>
      <c r="B496" s="6" t="s">
        <v>118</v>
      </c>
      <c r="C496" s="9" t="s">
        <v>60</v>
      </c>
      <c r="D496" s="6">
        <f>40+40</f>
        <v>80</v>
      </c>
      <c r="E496" s="27">
        <f>1205.58+1205.58</f>
        <v>2411.16</v>
      </c>
    </row>
    <row r="497" spans="1:5" ht="15">
      <c r="A497" s="4" t="s">
        <v>99</v>
      </c>
      <c r="B497" s="6" t="s">
        <v>120</v>
      </c>
      <c r="C497" s="9" t="s">
        <v>60</v>
      </c>
      <c r="D497" s="6">
        <f>40+40+40+40</f>
        <v>160</v>
      </c>
      <c r="E497" s="27">
        <f>1150.83+1205.58+642.9+1937.9</f>
        <v>4937.21</v>
      </c>
    </row>
    <row r="498" spans="1:5" ht="15">
      <c r="A498" s="4" t="s">
        <v>99</v>
      </c>
      <c r="B498" s="6" t="s">
        <v>123</v>
      </c>
      <c r="C498" s="9" t="s">
        <v>60</v>
      </c>
      <c r="D498" s="6">
        <f>3+40+40</f>
        <v>83</v>
      </c>
      <c r="E498" s="27">
        <f>649.32+1937.9+1937.9</f>
        <v>4525.120000000001</v>
      </c>
    </row>
    <row r="499" spans="1:5" ht="15">
      <c r="A499" s="4" t="s">
        <v>125</v>
      </c>
      <c r="B499" s="6" t="s">
        <v>93</v>
      </c>
      <c r="C499" s="9" t="s">
        <v>60</v>
      </c>
      <c r="D499" s="6">
        <v>310</v>
      </c>
      <c r="E499" s="27">
        <f>7474.48</f>
        <v>7474.48</v>
      </c>
    </row>
    <row r="500" spans="1:5" ht="15">
      <c r="A500" s="4" t="s">
        <v>125</v>
      </c>
      <c r="B500" s="6" t="s">
        <v>121</v>
      </c>
      <c r="C500" s="9" t="s">
        <v>60</v>
      </c>
      <c r="D500" s="6">
        <f>40+10+40+20</f>
        <v>110</v>
      </c>
      <c r="E500" s="27">
        <f>1150.83+1413.63+1205.58+321.64</f>
        <v>4091.68</v>
      </c>
    </row>
    <row r="501" spans="1:5" ht="15">
      <c r="A501" s="4" t="s">
        <v>129</v>
      </c>
      <c r="B501" s="6" t="s">
        <v>130</v>
      </c>
      <c r="C501" s="9" t="s">
        <v>60</v>
      </c>
      <c r="D501" s="6">
        <v>40</v>
      </c>
      <c r="E501" s="27">
        <f>1937.9</f>
        <v>1937.9</v>
      </c>
    </row>
    <row r="502" spans="1:5" ht="15">
      <c r="A502" s="4" t="s">
        <v>129</v>
      </c>
      <c r="B502" s="6" t="s">
        <v>87</v>
      </c>
      <c r="C502" s="9" t="s">
        <v>60</v>
      </c>
      <c r="D502" s="6">
        <f>2</f>
        <v>2</v>
      </c>
      <c r="E502" s="27">
        <f>708.55</f>
        <v>708.55</v>
      </c>
    </row>
    <row r="503" spans="1:5" ht="15" hidden="1">
      <c r="A503" s="4" t="s">
        <v>129</v>
      </c>
      <c r="B503" s="6" t="s">
        <v>88</v>
      </c>
      <c r="C503" s="9" t="s">
        <v>60</v>
      </c>
      <c r="D503" s="6"/>
      <c r="E503" s="27"/>
    </row>
    <row r="504" spans="1:5" ht="15">
      <c r="A504" s="4" t="s">
        <v>129</v>
      </c>
      <c r="B504" s="6" t="s">
        <v>134</v>
      </c>
      <c r="C504" s="9" t="s">
        <v>60</v>
      </c>
      <c r="D504" s="6">
        <f>40</f>
        <v>40</v>
      </c>
      <c r="E504" s="27">
        <f>1205.58</f>
        <v>1205.58</v>
      </c>
    </row>
    <row r="505" spans="1:5" ht="15" hidden="1">
      <c r="A505" s="4" t="s">
        <v>129</v>
      </c>
      <c r="B505" s="6" t="s">
        <v>135</v>
      </c>
      <c r="C505" s="9" t="s">
        <v>60</v>
      </c>
      <c r="D505" s="6"/>
      <c r="E505" s="27"/>
    </row>
    <row r="506" spans="1:5" ht="15">
      <c r="A506" s="4" t="s">
        <v>140</v>
      </c>
      <c r="B506" s="6" t="s">
        <v>93</v>
      </c>
      <c r="C506" s="9" t="s">
        <v>60</v>
      </c>
      <c r="D506" s="6">
        <f>2+60</f>
        <v>62</v>
      </c>
      <c r="E506" s="27">
        <f>708.55+723.49</f>
        <v>1432.04</v>
      </c>
    </row>
    <row r="507" spans="1:5" ht="15">
      <c r="A507" s="4" t="s">
        <v>140</v>
      </c>
      <c r="B507" s="6" t="s">
        <v>94</v>
      </c>
      <c r="C507" s="9" t="s">
        <v>60</v>
      </c>
      <c r="D507" s="6">
        <f>10+2+60</f>
        <v>72</v>
      </c>
      <c r="E507" s="27">
        <f>1413.63+708.55+723.49</f>
        <v>2845.67</v>
      </c>
    </row>
    <row r="508" spans="1:5" ht="15">
      <c r="A508" s="4" t="s">
        <v>140</v>
      </c>
      <c r="B508" s="6" t="s">
        <v>96</v>
      </c>
      <c r="C508" s="9" t="s">
        <v>60</v>
      </c>
      <c r="D508" s="6">
        <f>20+10+60</f>
        <v>90</v>
      </c>
      <c r="E508" s="27">
        <f>1138.24+1413.63+723.49</f>
        <v>3275.3599999999997</v>
      </c>
    </row>
    <row r="509" spans="1:5" ht="15">
      <c r="A509" s="4" t="s">
        <v>140</v>
      </c>
      <c r="B509" s="6" t="s">
        <v>107</v>
      </c>
      <c r="C509" s="9" t="s">
        <v>60</v>
      </c>
      <c r="D509" s="6">
        <f>20+10+2</f>
        <v>32</v>
      </c>
      <c r="E509" s="27">
        <f>1138.24+1413.63+708.55</f>
        <v>3260.42</v>
      </c>
    </row>
    <row r="510" spans="1:5" ht="15">
      <c r="A510" s="4" t="s">
        <v>143</v>
      </c>
      <c r="B510" s="6" t="s">
        <v>93</v>
      </c>
      <c r="C510" s="9" t="s">
        <v>60</v>
      </c>
      <c r="D510" s="6">
        <v>100</v>
      </c>
      <c r="E510" s="27">
        <v>2411.15</v>
      </c>
    </row>
    <row r="511" spans="1:5" ht="15">
      <c r="A511" s="4" t="s">
        <v>143</v>
      </c>
      <c r="B511" s="6" t="s">
        <v>94</v>
      </c>
      <c r="C511" s="9" t="s">
        <v>60</v>
      </c>
      <c r="D511" s="6">
        <f>2+100</f>
        <v>102</v>
      </c>
      <c r="E511" s="27">
        <f>708.55+4269.61</f>
        <v>4978.16</v>
      </c>
    </row>
    <row r="512" spans="1:5" ht="15">
      <c r="A512" s="4" t="s">
        <v>143</v>
      </c>
      <c r="B512" s="6" t="s">
        <v>107</v>
      </c>
      <c r="C512" s="9" t="s">
        <v>60</v>
      </c>
      <c r="D512" s="6">
        <v>2</v>
      </c>
      <c r="E512" s="27">
        <v>1495.93</v>
      </c>
    </row>
    <row r="513" spans="1:5" ht="15">
      <c r="A513" s="4" t="s">
        <v>143</v>
      </c>
      <c r="B513" s="6" t="s">
        <v>108</v>
      </c>
      <c r="C513" s="9" t="s">
        <v>60</v>
      </c>
      <c r="D513" s="6">
        <v>2</v>
      </c>
      <c r="E513" s="27">
        <v>1495.93</v>
      </c>
    </row>
    <row r="514" spans="1:5" ht="15">
      <c r="A514" s="4" t="s">
        <v>97</v>
      </c>
      <c r="B514" s="6" t="s">
        <v>86</v>
      </c>
      <c r="C514" s="9" t="s">
        <v>60</v>
      </c>
      <c r="D514" s="6">
        <f>10+40</f>
        <v>50</v>
      </c>
      <c r="E514" s="32">
        <f>1413.63+1937.9</f>
        <v>3351.53</v>
      </c>
    </row>
    <row r="515" spans="1:5" ht="12.75">
      <c r="A515" s="15" t="s">
        <v>145</v>
      </c>
      <c r="B515" s="6"/>
      <c r="C515" s="9"/>
      <c r="D515" s="6"/>
      <c r="E515" s="28">
        <f>SUM(E462:E514)</f>
        <v>170929.9</v>
      </c>
    </row>
    <row r="516" spans="1:5" ht="12.75" hidden="1">
      <c r="A516" s="45" t="s">
        <v>28</v>
      </c>
      <c r="B516" s="46"/>
      <c r="C516" s="46"/>
      <c r="D516" s="46"/>
      <c r="E516" s="47"/>
    </row>
    <row r="517" spans="1:5" ht="12.75" hidden="1">
      <c r="A517" s="4" t="s">
        <v>140</v>
      </c>
      <c r="B517" s="6" t="s">
        <v>106</v>
      </c>
      <c r="C517" s="6" t="s">
        <v>44</v>
      </c>
      <c r="D517" s="6"/>
      <c r="E517" s="27"/>
    </row>
    <row r="518" spans="1:5" ht="12.75" hidden="1">
      <c r="A518" s="15" t="s">
        <v>145</v>
      </c>
      <c r="B518" s="6"/>
      <c r="C518" s="6"/>
      <c r="D518" s="6"/>
      <c r="E518" s="28">
        <f>E517</f>
        <v>0</v>
      </c>
    </row>
    <row r="519" spans="1:8" ht="12.75">
      <c r="A519" s="45" t="s">
        <v>39</v>
      </c>
      <c r="B519" s="60"/>
      <c r="C519" s="60"/>
      <c r="D519" s="60"/>
      <c r="E519" s="61"/>
      <c r="G519" t="s">
        <v>180</v>
      </c>
      <c r="H519" t="s">
        <v>181</v>
      </c>
    </row>
    <row r="520" spans="1:8" ht="15">
      <c r="A520" s="4" t="s">
        <v>40</v>
      </c>
      <c r="B520" s="6" t="s">
        <v>41</v>
      </c>
      <c r="C520" s="9" t="s">
        <v>60</v>
      </c>
      <c r="D520" s="6">
        <f>226+225+59+15+10.5</f>
        <v>535.5</v>
      </c>
      <c r="E520" s="32">
        <f>247803.94+33463.06+4622</f>
        <v>285889</v>
      </c>
      <c r="F520" t="s">
        <v>179</v>
      </c>
      <c r="G520">
        <f>226+59+10.5</f>
        <v>295.5</v>
      </c>
      <c r="H520">
        <f>225+15</f>
        <v>240</v>
      </c>
    </row>
    <row r="521" spans="1:5" ht="15">
      <c r="A521" s="4" t="s">
        <v>40</v>
      </c>
      <c r="B521" s="6" t="s">
        <v>55</v>
      </c>
      <c r="C521" s="9" t="s">
        <v>60</v>
      </c>
      <c r="D521" s="6">
        <v>1.8</v>
      </c>
      <c r="E521" s="32">
        <v>1952.02</v>
      </c>
    </row>
    <row r="522" spans="1:8" ht="15">
      <c r="A522" s="4" t="s">
        <v>40</v>
      </c>
      <c r="B522" s="6" t="s">
        <v>61</v>
      </c>
      <c r="C522" s="9" t="s">
        <v>60</v>
      </c>
      <c r="D522" s="6">
        <f>92+90+193+86.5</f>
        <v>461.5</v>
      </c>
      <c r="E522" s="32">
        <f>96254.22+137476.29</f>
        <v>233730.51</v>
      </c>
      <c r="F522" t="s">
        <v>179</v>
      </c>
      <c r="G522">
        <f>92+193</f>
        <v>285</v>
      </c>
      <c r="H522">
        <f>90+86.5</f>
        <v>176.5</v>
      </c>
    </row>
    <row r="523" spans="1:5" ht="15" hidden="1">
      <c r="A523" s="4" t="s">
        <v>40</v>
      </c>
      <c r="B523" s="6" t="s">
        <v>68</v>
      </c>
      <c r="C523" s="9" t="s">
        <v>60</v>
      </c>
      <c r="D523" s="6"/>
      <c r="E523" s="32"/>
    </row>
    <row r="524" spans="1:5" ht="15" hidden="1">
      <c r="A524" s="4" t="s">
        <v>40</v>
      </c>
      <c r="B524" s="6" t="s">
        <v>72</v>
      </c>
      <c r="C524" s="9" t="s">
        <v>60</v>
      </c>
      <c r="D524" s="6"/>
      <c r="E524" s="32"/>
    </row>
    <row r="525" spans="1:5" ht="15" hidden="1">
      <c r="A525" s="4" t="s">
        <v>40</v>
      </c>
      <c r="B525" s="6" t="s">
        <v>74</v>
      </c>
      <c r="C525" s="9" t="s">
        <v>60</v>
      </c>
      <c r="D525" s="6"/>
      <c r="E525" s="32"/>
    </row>
    <row r="526" spans="1:5" ht="15">
      <c r="A526" s="4" t="s">
        <v>40</v>
      </c>
      <c r="B526" s="6" t="s">
        <v>80</v>
      </c>
      <c r="C526" s="9" t="s">
        <v>60</v>
      </c>
      <c r="D526" s="6">
        <v>385</v>
      </c>
      <c r="E526" s="32">
        <v>179124.83</v>
      </c>
    </row>
    <row r="527" spans="1:5" ht="15" hidden="1">
      <c r="A527" s="4" t="s">
        <v>83</v>
      </c>
      <c r="B527" s="6" t="s">
        <v>84</v>
      </c>
      <c r="C527" s="9" t="s">
        <v>60</v>
      </c>
      <c r="D527" s="6"/>
      <c r="E527" s="32"/>
    </row>
    <row r="528" spans="1:5" ht="15">
      <c r="A528" s="4" t="s">
        <v>83</v>
      </c>
      <c r="B528" s="6" t="s">
        <v>41</v>
      </c>
      <c r="C528" s="9" t="s">
        <v>60</v>
      </c>
      <c r="D528" s="6">
        <f>90+30</f>
        <v>120</v>
      </c>
      <c r="E528" s="32">
        <v>54809.06</v>
      </c>
    </row>
    <row r="529" spans="1:8" ht="15">
      <c r="A529" s="4" t="s">
        <v>83</v>
      </c>
      <c r="B529" s="6" t="s">
        <v>54</v>
      </c>
      <c r="C529" s="9" t="s">
        <v>60</v>
      </c>
      <c r="D529" s="6">
        <f>50+68</f>
        <v>118</v>
      </c>
      <c r="E529" s="32">
        <f>51462</f>
        <v>51462</v>
      </c>
      <c r="F529" t="s">
        <v>179</v>
      </c>
      <c r="G529">
        <v>50</v>
      </c>
      <c r="H529">
        <v>68</v>
      </c>
    </row>
    <row r="530" spans="1:8" ht="15">
      <c r="A530" s="4" t="s">
        <v>92</v>
      </c>
      <c r="B530" s="6" t="s">
        <v>93</v>
      </c>
      <c r="C530" s="9" t="s">
        <v>60</v>
      </c>
      <c r="D530" s="6">
        <f>72+30</f>
        <v>102</v>
      </c>
      <c r="E530" s="32">
        <f>48397.32</f>
        <v>48397.32</v>
      </c>
      <c r="F530" t="s">
        <v>179</v>
      </c>
      <c r="G530">
        <v>72</v>
      </c>
      <c r="H530">
        <v>30</v>
      </c>
    </row>
    <row r="531" spans="1:8" ht="15">
      <c r="A531" s="4" t="s">
        <v>92</v>
      </c>
      <c r="B531" s="6" t="s">
        <v>94</v>
      </c>
      <c r="C531" s="9" t="s">
        <v>60</v>
      </c>
      <c r="D531" s="6">
        <f>56+30</f>
        <v>86</v>
      </c>
      <c r="E531" s="32">
        <f>31820</f>
        <v>31820</v>
      </c>
      <c r="F531" t="s">
        <v>179</v>
      </c>
      <c r="G531">
        <v>56</v>
      </c>
      <c r="H531">
        <v>30</v>
      </c>
    </row>
    <row r="532" spans="1:8" ht="15">
      <c r="A532" s="4" t="s">
        <v>92</v>
      </c>
      <c r="B532" s="6" t="s">
        <v>96</v>
      </c>
      <c r="C532" s="9" t="s">
        <v>60</v>
      </c>
      <c r="D532" s="6">
        <f>358+80</f>
        <v>438</v>
      </c>
      <c r="E532" s="32">
        <v>199211.21</v>
      </c>
      <c r="F532" t="s">
        <v>179</v>
      </c>
      <c r="G532">
        <v>358</v>
      </c>
      <c r="H532">
        <v>80</v>
      </c>
    </row>
    <row r="533" spans="1:5" ht="15" hidden="1">
      <c r="A533" s="4" t="s">
        <v>97</v>
      </c>
      <c r="B533" s="6" t="s">
        <v>98</v>
      </c>
      <c r="C533" s="9" t="s">
        <v>60</v>
      </c>
      <c r="D533" s="6"/>
      <c r="E533" s="32"/>
    </row>
    <row r="534" spans="1:8" ht="15">
      <c r="A534" s="4" t="s">
        <v>99</v>
      </c>
      <c r="B534" s="6" t="s">
        <v>95</v>
      </c>
      <c r="C534" s="9" t="s">
        <v>60</v>
      </c>
      <c r="D534" s="6">
        <f>285+15</f>
        <v>300</v>
      </c>
      <c r="E534" s="32">
        <f>128129</f>
        <v>128129</v>
      </c>
      <c r="F534" t="s">
        <v>179</v>
      </c>
      <c r="G534">
        <v>285</v>
      </c>
      <c r="H534">
        <v>15</v>
      </c>
    </row>
    <row r="535" spans="1:8" ht="15">
      <c r="A535" s="4" t="s">
        <v>99</v>
      </c>
      <c r="B535" s="6" t="s">
        <v>103</v>
      </c>
      <c r="C535" s="9" t="s">
        <v>60</v>
      </c>
      <c r="D535" s="6">
        <f>200+325+95</f>
        <v>620</v>
      </c>
      <c r="E535" s="32">
        <f>77289.63+241405</f>
        <v>318694.63</v>
      </c>
      <c r="F535" t="s">
        <v>179</v>
      </c>
      <c r="G535">
        <f>200+325</f>
        <v>525</v>
      </c>
      <c r="H535">
        <v>95</v>
      </c>
    </row>
    <row r="536" spans="1:8" ht="15">
      <c r="A536" s="4" t="s">
        <v>99</v>
      </c>
      <c r="B536" s="6" t="s">
        <v>96</v>
      </c>
      <c r="C536" s="9" t="s">
        <v>60</v>
      </c>
      <c r="D536" s="6">
        <f>338+50+137+15</f>
        <v>540</v>
      </c>
      <c r="E536" s="32">
        <f>167450.29+65860.45</f>
        <v>233310.74</v>
      </c>
      <c r="F536" t="s">
        <v>179</v>
      </c>
      <c r="G536">
        <f>338+137</f>
        <v>475</v>
      </c>
      <c r="H536">
        <f>50+15</f>
        <v>65</v>
      </c>
    </row>
    <row r="537" spans="1:7" ht="15">
      <c r="A537" s="4" t="s">
        <v>99</v>
      </c>
      <c r="B537" s="6" t="s">
        <v>106</v>
      </c>
      <c r="C537" s="9" t="s">
        <v>60</v>
      </c>
      <c r="D537" s="6">
        <f>126</f>
        <v>126</v>
      </c>
      <c r="E537" s="32">
        <f>49680.78</f>
        <v>49680.78</v>
      </c>
      <c r="F537" t="s">
        <v>179</v>
      </c>
      <c r="G537">
        <v>126</v>
      </c>
    </row>
    <row r="538" spans="1:8" ht="15">
      <c r="A538" s="4" t="s">
        <v>99</v>
      </c>
      <c r="B538" s="6" t="s">
        <v>107</v>
      </c>
      <c r="C538" s="9" t="s">
        <v>60</v>
      </c>
      <c r="D538" s="6">
        <f>309+45</f>
        <v>354</v>
      </c>
      <c r="E538" s="32">
        <v>105857</v>
      </c>
      <c r="F538" t="s">
        <v>179</v>
      </c>
      <c r="G538" s="41">
        <v>309</v>
      </c>
      <c r="H538" s="41">
        <v>45</v>
      </c>
    </row>
    <row r="539" spans="1:5" ht="15">
      <c r="A539" s="4" t="s">
        <v>99</v>
      </c>
      <c r="B539" s="6" t="s">
        <v>108</v>
      </c>
      <c r="C539" s="9" t="s">
        <v>60</v>
      </c>
      <c r="D539" s="6">
        <f>30+150</f>
        <v>180</v>
      </c>
      <c r="E539" s="32">
        <v>76178.97</v>
      </c>
    </row>
    <row r="540" spans="1:8" ht="15">
      <c r="A540" s="4" t="s">
        <v>99</v>
      </c>
      <c r="B540" s="6" t="s">
        <v>110</v>
      </c>
      <c r="C540" s="9" t="s">
        <v>60</v>
      </c>
      <c r="D540" s="6">
        <f>3.2+244+15</f>
        <v>262.2</v>
      </c>
      <c r="E540" s="32">
        <f>3364.86+70539.75</f>
        <v>73904.61</v>
      </c>
      <c r="F540" t="s">
        <v>179</v>
      </c>
      <c r="G540">
        <v>244</v>
      </c>
      <c r="H540">
        <v>15</v>
      </c>
    </row>
    <row r="541" spans="1:8" ht="15">
      <c r="A541" s="4" t="s">
        <v>99</v>
      </c>
      <c r="B541" s="6" t="s">
        <v>112</v>
      </c>
      <c r="C541" s="9" t="s">
        <v>60</v>
      </c>
      <c r="D541" s="6">
        <f>170+30</f>
        <v>200</v>
      </c>
      <c r="E541" s="32">
        <f>58605</f>
        <v>58605</v>
      </c>
      <c r="F541" t="s">
        <v>179</v>
      </c>
      <c r="G541">
        <v>170</v>
      </c>
      <c r="H541">
        <v>30</v>
      </c>
    </row>
    <row r="542" spans="1:7" ht="15">
      <c r="A542" s="4" t="s">
        <v>99</v>
      </c>
      <c r="B542" s="6" t="s">
        <v>116</v>
      </c>
      <c r="C542" s="9" t="s">
        <v>60</v>
      </c>
      <c r="D542" s="6">
        <f>4</f>
        <v>4</v>
      </c>
      <c r="E542" s="32">
        <f>1007</f>
        <v>1007</v>
      </c>
      <c r="F542" t="s">
        <v>179</v>
      </c>
      <c r="G542">
        <v>4</v>
      </c>
    </row>
    <row r="543" spans="1:5" ht="15">
      <c r="A543" s="4" t="s">
        <v>99</v>
      </c>
      <c r="B543" s="6" t="s">
        <v>117</v>
      </c>
      <c r="C543" s="9" t="s">
        <v>60</v>
      </c>
      <c r="D543" s="6">
        <f>306+55</f>
        <v>361</v>
      </c>
      <c r="E543" s="32">
        <v>171448.03</v>
      </c>
    </row>
    <row r="544" spans="1:8" ht="15">
      <c r="A544" s="4" t="s">
        <v>99</v>
      </c>
      <c r="B544" s="6" t="s">
        <v>118</v>
      </c>
      <c r="C544" s="9" t="s">
        <v>60</v>
      </c>
      <c r="D544" s="6">
        <f>89+15+8+58</f>
        <v>170</v>
      </c>
      <c r="E544" s="32">
        <f>40769.1+3201.76+15109.97</f>
        <v>59080.83</v>
      </c>
      <c r="F544" t="s">
        <v>179</v>
      </c>
      <c r="G544">
        <f>89+8+58</f>
        <v>155</v>
      </c>
      <c r="H544">
        <f>15</f>
        <v>15</v>
      </c>
    </row>
    <row r="545" spans="1:8" ht="15">
      <c r="A545" s="4" t="s">
        <v>99</v>
      </c>
      <c r="B545" s="6" t="s">
        <v>120</v>
      </c>
      <c r="C545" s="9" t="s">
        <v>60</v>
      </c>
      <c r="D545" s="6">
        <f>82+30+13</f>
        <v>125</v>
      </c>
      <c r="E545" s="32">
        <f>35242.63+3312</f>
        <v>38554.63</v>
      </c>
      <c r="F545" t="s">
        <v>179</v>
      </c>
      <c r="G545">
        <f>82+13</f>
        <v>95</v>
      </c>
      <c r="H545">
        <v>30</v>
      </c>
    </row>
    <row r="546" spans="1:5" ht="15">
      <c r="A546" s="4" t="s">
        <v>99</v>
      </c>
      <c r="B546" s="6" t="s">
        <v>123</v>
      </c>
      <c r="C546" s="9" t="s">
        <v>60</v>
      </c>
      <c r="D546" s="6">
        <f>377+225</f>
        <v>602</v>
      </c>
      <c r="E546" s="32">
        <v>265867.89</v>
      </c>
    </row>
    <row r="547" spans="1:8" ht="15">
      <c r="A547" s="4" t="s">
        <v>125</v>
      </c>
      <c r="B547" s="6" t="s">
        <v>121</v>
      </c>
      <c r="C547" s="9" t="s">
        <v>60</v>
      </c>
      <c r="D547" s="6">
        <f>605+110+50+45</f>
        <v>810</v>
      </c>
      <c r="E547" s="32">
        <f>386433.14+34288</f>
        <v>420721.14</v>
      </c>
      <c r="F547" t="s">
        <v>179</v>
      </c>
      <c r="G547">
        <f>605+50</f>
        <v>655</v>
      </c>
      <c r="H547">
        <f>110+45</f>
        <v>155</v>
      </c>
    </row>
    <row r="548" spans="1:5" ht="15" hidden="1">
      <c r="A548" s="4" t="s">
        <v>125</v>
      </c>
      <c r="B548" s="6" t="s">
        <v>128</v>
      </c>
      <c r="C548" s="9" t="s">
        <v>60</v>
      </c>
      <c r="D548" s="6"/>
      <c r="E548" s="32"/>
    </row>
    <row r="549" spans="1:5" ht="15">
      <c r="A549" s="4" t="s">
        <v>129</v>
      </c>
      <c r="B549" s="6" t="s">
        <v>130</v>
      </c>
      <c r="C549" s="9" t="s">
        <v>60</v>
      </c>
      <c r="D549" s="6">
        <v>33</v>
      </c>
      <c r="E549" s="32">
        <v>45389.07</v>
      </c>
    </row>
    <row r="550" spans="1:5" ht="15" hidden="1">
      <c r="A550" s="4" t="s">
        <v>129</v>
      </c>
      <c r="B550" s="6" t="s">
        <v>132</v>
      </c>
      <c r="C550" s="9" t="s">
        <v>60</v>
      </c>
      <c r="D550" s="6"/>
      <c r="E550" s="32"/>
    </row>
    <row r="551" spans="1:7" ht="15">
      <c r="A551" s="4" t="s">
        <v>129</v>
      </c>
      <c r="B551" s="6" t="s">
        <v>87</v>
      </c>
      <c r="C551" s="9" t="s">
        <v>60</v>
      </c>
      <c r="D551" s="6">
        <f>21</f>
        <v>21</v>
      </c>
      <c r="E551" s="32">
        <f>6307</f>
        <v>6307</v>
      </c>
      <c r="F551" t="s">
        <v>179</v>
      </c>
      <c r="G551">
        <v>21</v>
      </c>
    </row>
    <row r="552" spans="1:5" ht="15">
      <c r="A552" s="4" t="s">
        <v>129</v>
      </c>
      <c r="B552" s="6" t="s">
        <v>134</v>
      </c>
      <c r="C552" s="9" t="s">
        <v>60</v>
      </c>
      <c r="D552" s="6">
        <f>176+15</f>
        <v>191</v>
      </c>
      <c r="E552" s="32">
        <v>83819.96</v>
      </c>
    </row>
    <row r="553" spans="1:7" ht="15">
      <c r="A553" s="4" t="s">
        <v>129</v>
      </c>
      <c r="B553" s="6" t="s">
        <v>89</v>
      </c>
      <c r="C553" s="9" t="s">
        <v>60</v>
      </c>
      <c r="D553" s="6">
        <f>3.6</f>
        <v>3.6</v>
      </c>
      <c r="E553" s="32">
        <f>922</f>
        <v>922</v>
      </c>
      <c r="F553" t="s">
        <v>179</v>
      </c>
      <c r="G553">
        <v>3.6</v>
      </c>
    </row>
    <row r="554" spans="1:5" ht="15">
      <c r="A554" s="4" t="s">
        <v>140</v>
      </c>
      <c r="B554" s="6" t="s">
        <v>94</v>
      </c>
      <c r="C554" s="9" t="s">
        <v>60</v>
      </c>
      <c r="D554" s="6">
        <v>1.8</v>
      </c>
      <c r="E554" s="32">
        <v>466.39</v>
      </c>
    </row>
    <row r="555" spans="1:5" ht="15">
      <c r="A555" s="4" t="s">
        <v>140</v>
      </c>
      <c r="B555" s="6" t="s">
        <v>106</v>
      </c>
      <c r="C555" s="9" t="s">
        <v>60</v>
      </c>
      <c r="D555" s="6">
        <v>5</v>
      </c>
      <c r="E555" s="32">
        <v>9452.25</v>
      </c>
    </row>
    <row r="556" spans="1:5" ht="15">
      <c r="A556" s="4" t="s">
        <v>140</v>
      </c>
      <c r="B556" s="6" t="s">
        <v>107</v>
      </c>
      <c r="C556" s="9" t="s">
        <v>60</v>
      </c>
      <c r="D556" s="6">
        <v>7</v>
      </c>
      <c r="E556" s="32">
        <v>6440.13</v>
      </c>
    </row>
    <row r="557" spans="1:8" ht="15">
      <c r="A557" s="4" t="s">
        <v>140</v>
      </c>
      <c r="B557" s="6" t="s">
        <v>108</v>
      </c>
      <c r="C557" s="9" t="s">
        <v>60</v>
      </c>
      <c r="D557" s="6">
        <f>24+28</f>
        <v>52</v>
      </c>
      <c r="E557" s="32">
        <f>37114.27</f>
        <v>37114.27</v>
      </c>
      <c r="F557" t="s">
        <v>179</v>
      </c>
      <c r="G557">
        <f>24</f>
        <v>24</v>
      </c>
      <c r="H557">
        <f>28</f>
        <v>28</v>
      </c>
    </row>
    <row r="558" spans="1:5" ht="15" hidden="1">
      <c r="A558" s="4" t="s">
        <v>143</v>
      </c>
      <c r="B558" s="6" t="s">
        <v>93</v>
      </c>
      <c r="C558" s="9" t="s">
        <v>60</v>
      </c>
      <c r="D558" s="6"/>
      <c r="E558" s="32"/>
    </row>
    <row r="559" spans="1:6" ht="15">
      <c r="A559" s="4" t="s">
        <v>143</v>
      </c>
      <c r="B559" s="6" t="s">
        <v>96</v>
      </c>
      <c r="C559" s="9" t="s">
        <v>60</v>
      </c>
      <c r="D559" s="6">
        <v>1.9</v>
      </c>
      <c r="E559" s="32">
        <v>1863</v>
      </c>
      <c r="F559" t="s">
        <v>178</v>
      </c>
    </row>
    <row r="560" spans="1:5" ht="15">
      <c r="A560" s="4" t="s">
        <v>143</v>
      </c>
      <c r="B560" s="6" t="s">
        <v>107</v>
      </c>
      <c r="C560" s="9" t="s">
        <v>60</v>
      </c>
      <c r="D560" s="6">
        <v>1.9</v>
      </c>
      <c r="E560" s="32">
        <v>3283.67</v>
      </c>
    </row>
    <row r="561" spans="1:6" ht="15">
      <c r="A561" s="4" t="s">
        <v>143</v>
      </c>
      <c r="B561" s="6" t="s">
        <v>108</v>
      </c>
      <c r="C561" s="9" t="s">
        <v>60</v>
      </c>
      <c r="D561" s="6">
        <f>4.6</f>
        <v>4.6</v>
      </c>
      <c r="E561" s="32">
        <f>1191.88</f>
        <v>1191.88</v>
      </c>
      <c r="F561" t="s">
        <v>178</v>
      </c>
    </row>
    <row r="562" spans="1:5" ht="12.75" hidden="1">
      <c r="A562" s="4"/>
      <c r="B562" s="6"/>
      <c r="C562" s="9"/>
      <c r="D562" s="6"/>
      <c r="E562" s="27"/>
    </row>
    <row r="563" spans="1:5" ht="12.75">
      <c r="A563" s="15" t="s">
        <v>145</v>
      </c>
      <c r="B563" s="6"/>
      <c r="C563" s="9"/>
      <c r="D563" s="6"/>
      <c r="E563" s="28">
        <f>SUM(E520:E562)</f>
        <v>3283685.82</v>
      </c>
    </row>
    <row r="564" spans="1:5" ht="12.75">
      <c r="A564" s="45" t="s">
        <v>29</v>
      </c>
      <c r="B564" s="46"/>
      <c r="C564" s="46"/>
      <c r="D564" s="46"/>
      <c r="E564" s="47"/>
    </row>
    <row r="565" spans="1:5" ht="15" hidden="1">
      <c r="A565" s="4" t="s">
        <v>99</v>
      </c>
      <c r="B565" s="6" t="s">
        <v>103</v>
      </c>
      <c r="C565" s="9" t="s">
        <v>60</v>
      </c>
      <c r="D565" s="6"/>
      <c r="E565" s="27"/>
    </row>
    <row r="566" spans="1:5" ht="15">
      <c r="A566" s="4" t="s">
        <v>99</v>
      </c>
      <c r="B566" s="6" t="s">
        <v>112</v>
      </c>
      <c r="C566" s="9" t="s">
        <v>60</v>
      </c>
      <c r="D566" s="6">
        <v>0.13</v>
      </c>
      <c r="E566" s="27">
        <f>1686.23</f>
        <v>1686.23</v>
      </c>
    </row>
    <row r="567" spans="1:5" ht="15">
      <c r="A567" s="7" t="s">
        <v>138</v>
      </c>
      <c r="B567" s="6" t="s">
        <v>94</v>
      </c>
      <c r="C567" s="9" t="s">
        <v>144</v>
      </c>
      <c r="D567" s="6">
        <v>0.144</v>
      </c>
      <c r="E567" s="30">
        <v>4061.04</v>
      </c>
    </row>
    <row r="568" spans="1:5" ht="15" hidden="1">
      <c r="A568" s="7" t="s">
        <v>142</v>
      </c>
      <c r="B568" s="6" t="s">
        <v>106</v>
      </c>
      <c r="C568" s="9" t="s">
        <v>51</v>
      </c>
      <c r="D568" s="6"/>
      <c r="E568" s="30"/>
    </row>
    <row r="569" spans="1:5" ht="15" hidden="1">
      <c r="A569" s="7" t="s">
        <v>142</v>
      </c>
      <c r="B569" s="6" t="s">
        <v>120</v>
      </c>
      <c r="C569" s="9" t="s">
        <v>144</v>
      </c>
      <c r="D569" s="6"/>
      <c r="E569" s="30"/>
    </row>
    <row r="570" spans="1:5" ht="15">
      <c r="A570" s="7" t="s">
        <v>48</v>
      </c>
      <c r="B570" s="6" t="s">
        <v>54</v>
      </c>
      <c r="C570" s="9" t="s">
        <v>144</v>
      </c>
      <c r="D570" s="6">
        <v>0.021</v>
      </c>
      <c r="E570" s="30">
        <f>1270.03</f>
        <v>1270.03</v>
      </c>
    </row>
    <row r="571" spans="1:5" ht="15">
      <c r="A571" s="7" t="s">
        <v>48</v>
      </c>
      <c r="B571" s="6" t="s">
        <v>61</v>
      </c>
      <c r="C571" s="9" t="s">
        <v>144</v>
      </c>
      <c r="D571" s="6">
        <f>0.043+0.35</f>
        <v>0.39299999999999996</v>
      </c>
      <c r="E571" s="30">
        <f>227.56+249</f>
        <v>476.56</v>
      </c>
    </row>
    <row r="572" spans="1:5" ht="15">
      <c r="A572" s="7" t="s">
        <v>129</v>
      </c>
      <c r="B572" s="6" t="s">
        <v>135</v>
      </c>
      <c r="C572" s="9" t="s">
        <v>51</v>
      </c>
      <c r="D572" s="6">
        <v>1.25</v>
      </c>
      <c r="E572" s="30">
        <v>894.43</v>
      </c>
    </row>
    <row r="573" spans="1:5" ht="12.75">
      <c r="A573" s="7"/>
      <c r="B573" s="6"/>
      <c r="C573" s="9"/>
      <c r="D573" s="6"/>
      <c r="E573" s="30"/>
    </row>
    <row r="574" spans="1:5" ht="12.75">
      <c r="A574" s="15" t="s">
        <v>145</v>
      </c>
      <c r="B574" s="6"/>
      <c r="C574" s="9"/>
      <c r="D574" s="6"/>
      <c r="E574" s="28">
        <f>SUM(E566:E573)</f>
        <v>8388.29</v>
      </c>
    </row>
    <row r="575" spans="1:5" ht="12.75">
      <c r="A575" s="45" t="s">
        <v>152</v>
      </c>
      <c r="B575" s="46"/>
      <c r="C575" s="46"/>
      <c r="D575" s="46"/>
      <c r="E575" s="47"/>
    </row>
    <row r="576" spans="1:5" ht="12.75" hidden="1">
      <c r="A576" s="4" t="s">
        <v>129</v>
      </c>
      <c r="B576" s="6" t="s">
        <v>134</v>
      </c>
      <c r="C576" s="9" t="s">
        <v>44</v>
      </c>
      <c r="D576" s="6"/>
      <c r="E576" s="32"/>
    </row>
    <row r="577" spans="1:5" ht="12.75">
      <c r="A577" s="4" t="s">
        <v>48</v>
      </c>
      <c r="B577" s="6" t="s">
        <v>59</v>
      </c>
      <c r="C577" s="9" t="s">
        <v>44</v>
      </c>
      <c r="D577" s="6">
        <f>1</f>
        <v>1</v>
      </c>
      <c r="E577" s="32">
        <f>692</f>
        <v>692</v>
      </c>
    </row>
    <row r="578" spans="1:5" ht="12.75">
      <c r="A578" s="4" t="s">
        <v>48</v>
      </c>
      <c r="B578" s="6" t="s">
        <v>66</v>
      </c>
      <c r="C578" s="9" t="s">
        <v>44</v>
      </c>
      <c r="D578" s="6">
        <f>1</f>
        <v>1</v>
      </c>
      <c r="E578" s="32">
        <f>443</f>
        <v>443</v>
      </c>
    </row>
    <row r="579" spans="1:5" ht="12.75">
      <c r="A579" s="4" t="s">
        <v>48</v>
      </c>
      <c r="B579" s="6" t="s">
        <v>68</v>
      </c>
      <c r="C579" s="9" t="s">
        <v>44</v>
      </c>
      <c r="D579" s="6">
        <v>1</v>
      </c>
      <c r="E579" s="32">
        <v>215.36</v>
      </c>
    </row>
    <row r="580" spans="1:5" ht="12.75">
      <c r="A580" s="4" t="s">
        <v>100</v>
      </c>
      <c r="B580" s="6" t="s">
        <v>112</v>
      </c>
      <c r="C580" s="9" t="s">
        <v>44</v>
      </c>
      <c r="D580" s="6">
        <v>1</v>
      </c>
      <c r="E580" s="32">
        <f>884</f>
        <v>884</v>
      </c>
    </row>
    <row r="581" spans="1:5" ht="12.75" hidden="1">
      <c r="A581" s="4" t="s">
        <v>92</v>
      </c>
      <c r="B581" s="6" t="s">
        <v>96</v>
      </c>
      <c r="C581" s="9" t="s">
        <v>44</v>
      </c>
      <c r="D581" s="6"/>
      <c r="E581" s="32"/>
    </row>
    <row r="582" spans="1:5" ht="12.75">
      <c r="A582" s="4" t="s">
        <v>83</v>
      </c>
      <c r="B582" s="6" t="s">
        <v>41</v>
      </c>
      <c r="C582" s="9" t="s">
        <v>44</v>
      </c>
      <c r="D582" s="6">
        <v>1</v>
      </c>
      <c r="E582" s="32">
        <f>420.35</f>
        <v>420.35</v>
      </c>
    </row>
    <row r="583" spans="1:5" ht="12.75">
      <c r="A583" s="4" t="s">
        <v>138</v>
      </c>
      <c r="B583" s="6" t="s">
        <v>107</v>
      </c>
      <c r="C583" s="9" t="s">
        <v>44</v>
      </c>
      <c r="D583" s="6">
        <v>1</v>
      </c>
      <c r="E583" s="32">
        <f>440.92</f>
        <v>440.92</v>
      </c>
    </row>
    <row r="584" spans="1:5" ht="15">
      <c r="A584" s="7" t="s">
        <v>142</v>
      </c>
      <c r="B584" s="6" t="s">
        <v>106</v>
      </c>
      <c r="C584" s="9" t="s">
        <v>51</v>
      </c>
      <c r="D584" s="6">
        <v>1.2</v>
      </c>
      <c r="E584" s="30">
        <f>739</f>
        <v>739</v>
      </c>
    </row>
    <row r="585" spans="1:5" ht="12.75">
      <c r="A585" s="7" t="s">
        <v>142</v>
      </c>
      <c r="B585" s="6" t="s">
        <v>107</v>
      </c>
      <c r="C585" s="9" t="s">
        <v>44</v>
      </c>
      <c r="D585" s="6">
        <v>1</v>
      </c>
      <c r="E585" s="30">
        <v>443</v>
      </c>
    </row>
    <row r="586" spans="1:5" ht="12.75">
      <c r="A586" s="15" t="s">
        <v>145</v>
      </c>
      <c r="B586" s="6"/>
      <c r="C586" s="9"/>
      <c r="D586" s="6"/>
      <c r="E586" s="28">
        <f>SUM(E576:E585)</f>
        <v>4277.63</v>
      </c>
    </row>
    <row r="587" spans="1:5" ht="12.75" hidden="1">
      <c r="A587" s="4"/>
      <c r="B587" s="5"/>
      <c r="C587" s="5"/>
      <c r="D587" s="5"/>
      <c r="E587" s="27"/>
    </row>
    <row r="588" spans="1:5" ht="12.75" hidden="1">
      <c r="A588" s="45" t="s">
        <v>35</v>
      </c>
      <c r="B588" s="46"/>
      <c r="C588" s="46"/>
      <c r="D588" s="46"/>
      <c r="E588" s="47"/>
    </row>
    <row r="589" spans="1:5" ht="12.75" hidden="1">
      <c r="A589" s="5" t="s">
        <v>129</v>
      </c>
      <c r="B589" s="6" t="s">
        <v>87</v>
      </c>
      <c r="C589" s="5"/>
      <c r="D589" s="6"/>
      <c r="E589" s="27"/>
    </row>
    <row r="590" spans="1:5" ht="12.75" hidden="1">
      <c r="A590" s="15" t="s">
        <v>145</v>
      </c>
      <c r="B590" s="6"/>
      <c r="C590" s="5"/>
      <c r="D590" s="6"/>
      <c r="E590" s="28">
        <f>E589</f>
        <v>0</v>
      </c>
    </row>
    <row r="591" spans="1:5" ht="26.25" customHeight="1">
      <c r="A591" s="48" t="s">
        <v>32</v>
      </c>
      <c r="B591" s="49"/>
      <c r="C591" s="49"/>
      <c r="D591" s="49"/>
      <c r="E591" s="50"/>
    </row>
    <row r="592" spans="1:5" ht="12.75">
      <c r="A592" s="45" t="s">
        <v>33</v>
      </c>
      <c r="B592" s="46"/>
      <c r="C592" s="46"/>
      <c r="D592" s="46"/>
      <c r="E592" s="47"/>
    </row>
    <row r="593" spans="1:5" ht="12.75">
      <c r="A593" s="4" t="s">
        <v>40</v>
      </c>
      <c r="B593" s="6" t="s">
        <v>41</v>
      </c>
      <c r="C593" s="6" t="s">
        <v>46</v>
      </c>
      <c r="D593" s="6">
        <f>4+8+16+3</f>
        <v>31</v>
      </c>
      <c r="E593" s="27">
        <f>865.32+2323.8+11223.27+711.67</f>
        <v>15124.060000000001</v>
      </c>
    </row>
    <row r="594" spans="1:5" ht="12.75">
      <c r="A594" s="4" t="s">
        <v>40</v>
      </c>
      <c r="B594" s="6" t="s">
        <v>52</v>
      </c>
      <c r="C594" s="6" t="s">
        <v>46</v>
      </c>
      <c r="D594" s="6">
        <f>2+3+2+1+2</f>
        <v>10</v>
      </c>
      <c r="E594" s="27">
        <f>685.9+1322.84+769.74+115+287</f>
        <v>3180.4799999999996</v>
      </c>
    </row>
    <row r="595" spans="1:5" ht="12.75">
      <c r="A595" s="4" t="s">
        <v>40</v>
      </c>
      <c r="B595" s="6" t="s">
        <v>54</v>
      </c>
      <c r="C595" s="6" t="s">
        <v>46</v>
      </c>
      <c r="D595" s="6">
        <f>14+4</f>
        <v>18</v>
      </c>
      <c r="E595" s="27">
        <f>7060+1808</f>
        <v>8868</v>
      </c>
    </row>
    <row r="596" spans="1:5" ht="12.75" hidden="1">
      <c r="A596" s="4" t="s">
        <v>40</v>
      </c>
      <c r="B596" s="6" t="s">
        <v>55</v>
      </c>
      <c r="C596" s="6" t="s">
        <v>46</v>
      </c>
      <c r="D596" s="6"/>
      <c r="E596" s="27"/>
    </row>
    <row r="597" spans="1:5" ht="12.75" hidden="1">
      <c r="A597" s="4" t="s">
        <v>40</v>
      </c>
      <c r="B597" s="6" t="s">
        <v>56</v>
      </c>
      <c r="C597" s="6" t="s">
        <v>46</v>
      </c>
      <c r="D597" s="6"/>
      <c r="E597" s="27"/>
    </row>
    <row r="598" spans="1:5" ht="12.75">
      <c r="A598" s="4" t="s">
        <v>40</v>
      </c>
      <c r="B598" s="6" t="s">
        <v>57</v>
      </c>
      <c r="C598" s="6" t="s">
        <v>46</v>
      </c>
      <c r="D598" s="6">
        <f>4</f>
        <v>4</v>
      </c>
      <c r="E598" s="27">
        <f>832.92</f>
        <v>832.92</v>
      </c>
    </row>
    <row r="599" spans="1:5" ht="12.75">
      <c r="A599" s="4" t="s">
        <v>40</v>
      </c>
      <c r="B599" s="6" t="s">
        <v>59</v>
      </c>
      <c r="C599" s="6" t="s">
        <v>46</v>
      </c>
      <c r="D599" s="6">
        <f>1+3+3+6+1</f>
        <v>14</v>
      </c>
      <c r="E599" s="27">
        <f>1367.17+705.08+1068+1514+311</f>
        <v>4965.25</v>
      </c>
    </row>
    <row r="600" spans="1:5" ht="12.75" hidden="1">
      <c r="A600" s="4" t="s">
        <v>40</v>
      </c>
      <c r="B600" s="6" t="s">
        <v>59</v>
      </c>
      <c r="C600" s="6" t="s">
        <v>43</v>
      </c>
      <c r="D600" s="6"/>
      <c r="E600" s="27"/>
    </row>
    <row r="601" spans="1:5" ht="12.75">
      <c r="A601" s="4" t="s">
        <v>40</v>
      </c>
      <c r="B601" s="6" t="s">
        <v>61</v>
      </c>
      <c r="C601" s="6" t="s">
        <v>46</v>
      </c>
      <c r="D601" s="6">
        <f>2+3+23+96+12+2+2+2+1</f>
        <v>143</v>
      </c>
      <c r="E601" s="27">
        <f>680.61+1186.14+13237.21+21171.73+6563.56+468+1312+508+254</f>
        <v>45381.25</v>
      </c>
    </row>
    <row r="602" spans="1:5" ht="12.75">
      <c r="A602" s="4" t="s">
        <v>40</v>
      </c>
      <c r="B602" s="6" t="s">
        <v>62</v>
      </c>
      <c r="C602" s="6" t="s">
        <v>46</v>
      </c>
      <c r="D602" s="6">
        <f>7+7+3+6+1</f>
        <v>24</v>
      </c>
      <c r="E602" s="27">
        <f>3698.02+4953.87+1503.94+928.56+180.08</f>
        <v>11264.47</v>
      </c>
    </row>
    <row r="603" spans="1:5" ht="12.75" hidden="1">
      <c r="A603" s="4" t="s">
        <v>40</v>
      </c>
      <c r="B603" s="6" t="s">
        <v>66</v>
      </c>
      <c r="C603" s="6" t="s">
        <v>46</v>
      </c>
      <c r="D603" s="6"/>
      <c r="E603" s="27"/>
    </row>
    <row r="604" spans="1:5" ht="12.75">
      <c r="A604" s="4" t="s">
        <v>40</v>
      </c>
      <c r="B604" s="6" t="s">
        <v>68</v>
      </c>
      <c r="C604" s="6" t="s">
        <v>46</v>
      </c>
      <c r="D604" s="6">
        <f>15+3+13+1+42+1</f>
        <v>75</v>
      </c>
      <c r="E604" s="27">
        <f>7726.64+1246.89+7813.06+3907.51+19014.24+385</f>
        <v>40093.34</v>
      </c>
    </row>
    <row r="605" spans="1:5" ht="12.75" hidden="1">
      <c r="A605" s="4" t="s">
        <v>40</v>
      </c>
      <c r="B605" s="6" t="s">
        <v>70</v>
      </c>
      <c r="C605" s="6" t="s">
        <v>46</v>
      </c>
      <c r="D605" s="44"/>
      <c r="E605" s="27"/>
    </row>
    <row r="606" spans="1:5" ht="12.75">
      <c r="A606" s="4" t="s">
        <v>40</v>
      </c>
      <c r="B606" s="6" t="s">
        <v>71</v>
      </c>
      <c r="C606" s="6" t="s">
        <v>46</v>
      </c>
      <c r="D606" s="6">
        <f>2+7</f>
        <v>9</v>
      </c>
      <c r="E606" s="27">
        <f>400.1+1398.63</f>
        <v>1798.73</v>
      </c>
    </row>
    <row r="607" spans="1:5" ht="12.75">
      <c r="A607" s="4" t="s">
        <v>40</v>
      </c>
      <c r="B607" s="6" t="s">
        <v>72</v>
      </c>
      <c r="C607" s="6" t="s">
        <v>46</v>
      </c>
      <c r="D607" s="6">
        <f>5</f>
        <v>5</v>
      </c>
      <c r="E607" s="27">
        <f>1476.55</f>
        <v>1476.55</v>
      </c>
    </row>
    <row r="608" spans="1:5" ht="12.75" hidden="1">
      <c r="A608" s="4" t="s">
        <v>40</v>
      </c>
      <c r="B608" s="6" t="s">
        <v>73</v>
      </c>
      <c r="C608" s="6" t="s">
        <v>46</v>
      </c>
      <c r="D608" s="6"/>
      <c r="E608" s="27"/>
    </row>
    <row r="609" spans="1:5" ht="12.75" hidden="1">
      <c r="A609" s="4" t="s">
        <v>40</v>
      </c>
      <c r="B609" s="6" t="s">
        <v>74</v>
      </c>
      <c r="C609" s="6" t="s">
        <v>46</v>
      </c>
      <c r="D609" s="6"/>
      <c r="E609" s="27"/>
    </row>
    <row r="610" spans="1:5" ht="12.75">
      <c r="A610" s="4" t="s">
        <v>40</v>
      </c>
      <c r="B610" s="6" t="s">
        <v>75</v>
      </c>
      <c r="C610" s="6" t="s">
        <v>46</v>
      </c>
      <c r="D610" s="6">
        <f>26+10+1</f>
        <v>37</v>
      </c>
      <c r="E610" s="27">
        <f>8410+5949+318</f>
        <v>14677</v>
      </c>
    </row>
    <row r="611" spans="1:5" ht="12.75">
      <c r="A611" s="4" t="s">
        <v>40</v>
      </c>
      <c r="B611" s="6" t="s">
        <v>78</v>
      </c>
      <c r="C611" s="6" t="s">
        <v>46</v>
      </c>
      <c r="D611" s="6">
        <f>1+6+26+28+4+2</f>
        <v>67</v>
      </c>
      <c r="E611" s="27">
        <f>133.21+10066+6675+9320+1233+454</f>
        <v>27881.21</v>
      </c>
    </row>
    <row r="612" spans="1:5" ht="12.75">
      <c r="A612" s="4" t="s">
        <v>40</v>
      </c>
      <c r="B612" s="6" t="s">
        <v>78</v>
      </c>
      <c r="C612" s="6" t="s">
        <v>43</v>
      </c>
      <c r="D612" s="6">
        <v>3.7</v>
      </c>
      <c r="E612" s="27">
        <f>1564</f>
        <v>1564</v>
      </c>
    </row>
    <row r="613" spans="1:5" ht="12.75">
      <c r="A613" s="4" t="s">
        <v>40</v>
      </c>
      <c r="B613" s="6" t="s">
        <v>79</v>
      </c>
      <c r="C613" s="6" t="s">
        <v>46</v>
      </c>
      <c r="D613" s="6">
        <f>4+25+5+1+1</f>
        <v>36</v>
      </c>
      <c r="E613" s="27">
        <f>2455.39+13606.43+1989.56+1086+163</f>
        <v>19300.38</v>
      </c>
    </row>
    <row r="614" spans="1:5" ht="12.75">
      <c r="A614" s="4" t="s">
        <v>40</v>
      </c>
      <c r="B614" s="6" t="s">
        <v>81</v>
      </c>
      <c r="C614" s="6" t="s">
        <v>46</v>
      </c>
      <c r="D614" s="6">
        <f>20+1+1+2</f>
        <v>24</v>
      </c>
      <c r="E614" s="27">
        <f>7142.34+318+450+435</f>
        <v>8345.34</v>
      </c>
    </row>
    <row r="615" spans="1:5" ht="12.75">
      <c r="A615" s="4" t="s">
        <v>40</v>
      </c>
      <c r="B615" s="6" t="s">
        <v>80</v>
      </c>
      <c r="C615" s="6" t="s">
        <v>46</v>
      </c>
      <c r="D615" s="6">
        <f>8+4+1+2</f>
        <v>15</v>
      </c>
      <c r="E615" s="27">
        <f>5837.78+776+318+444</f>
        <v>7375.78</v>
      </c>
    </row>
    <row r="616" spans="1:5" ht="12.75">
      <c r="A616" s="4" t="s">
        <v>83</v>
      </c>
      <c r="B616" s="6" t="s">
        <v>84</v>
      </c>
      <c r="C616" s="6" t="s">
        <v>46</v>
      </c>
      <c r="D616" s="6">
        <f>40+8+2+1</f>
        <v>51</v>
      </c>
      <c r="E616" s="27">
        <f>13993.46+4574.93+901+437</f>
        <v>19906.39</v>
      </c>
    </row>
    <row r="617" spans="1:5" ht="12.75" hidden="1">
      <c r="A617" s="4" t="s">
        <v>83</v>
      </c>
      <c r="B617" s="6" t="s">
        <v>85</v>
      </c>
      <c r="C617" s="6" t="s">
        <v>46</v>
      </c>
      <c r="D617" s="6"/>
      <c r="E617" s="27"/>
    </row>
    <row r="618" spans="1:5" ht="12.75">
      <c r="A618" s="4" t="s">
        <v>83</v>
      </c>
      <c r="B618" s="6" t="s">
        <v>86</v>
      </c>
      <c r="C618" s="6" t="s">
        <v>46</v>
      </c>
      <c r="D618" s="6">
        <f>9+1</f>
        <v>10</v>
      </c>
      <c r="E618" s="27">
        <f>5854.01+258.72</f>
        <v>6112.7300000000005</v>
      </c>
    </row>
    <row r="619" spans="1:5" ht="12.75">
      <c r="A619" s="4" t="s">
        <v>83</v>
      </c>
      <c r="B619" s="6" t="s">
        <v>87</v>
      </c>
      <c r="C619" s="6" t="s">
        <v>46</v>
      </c>
      <c r="D619" s="6">
        <f>4+1+12+5+3</f>
        <v>25</v>
      </c>
      <c r="E619" s="27">
        <f>1182.14+221.52+6083.9+2474.57+969</f>
        <v>10931.13</v>
      </c>
    </row>
    <row r="620" spans="1:5" ht="12.75">
      <c r="A620" s="4" t="s">
        <v>83</v>
      </c>
      <c r="B620" s="6" t="s">
        <v>88</v>
      </c>
      <c r="C620" s="6" t="s">
        <v>46</v>
      </c>
      <c r="D620" s="6">
        <f>5</f>
        <v>5</v>
      </c>
      <c r="E620" s="27">
        <f>2750</f>
        <v>2750</v>
      </c>
    </row>
    <row r="621" spans="1:5" ht="12.75">
      <c r="A621" s="4" t="s">
        <v>83</v>
      </c>
      <c r="B621" s="6" t="s">
        <v>89</v>
      </c>
      <c r="C621" s="6" t="s">
        <v>46</v>
      </c>
      <c r="D621" s="6">
        <f>5</f>
        <v>5</v>
      </c>
      <c r="E621" s="27">
        <f>1884.57</f>
        <v>1884.57</v>
      </c>
    </row>
    <row r="622" spans="1:5" ht="12.75" hidden="1">
      <c r="A622" s="4" t="s">
        <v>83</v>
      </c>
      <c r="B622" s="6" t="s">
        <v>90</v>
      </c>
      <c r="C622" s="6" t="s">
        <v>46</v>
      </c>
      <c r="D622" s="6"/>
      <c r="E622" s="27"/>
    </row>
    <row r="623" spans="1:5" ht="12.75" hidden="1">
      <c r="A623" s="4" t="s">
        <v>83</v>
      </c>
      <c r="B623" s="6" t="s">
        <v>91</v>
      </c>
      <c r="C623" s="6" t="s">
        <v>46</v>
      </c>
      <c r="D623" s="6"/>
      <c r="E623" s="27"/>
    </row>
    <row r="624" spans="1:5" ht="12.75">
      <c r="A624" s="4" t="s">
        <v>83</v>
      </c>
      <c r="B624" s="6" t="s">
        <v>41</v>
      </c>
      <c r="C624" s="6" t="s">
        <v>46</v>
      </c>
      <c r="D624" s="6">
        <f>2+6+5+1+1+25+2</f>
        <v>42</v>
      </c>
      <c r="E624" s="27">
        <f>510.82+4056.68+5315.28+343.21+450+10087+468</f>
        <v>21230.989999999998</v>
      </c>
    </row>
    <row r="625" spans="1:5" ht="12.75">
      <c r="A625" s="4" t="s">
        <v>83</v>
      </c>
      <c r="B625" s="6" t="s">
        <v>52</v>
      </c>
      <c r="C625" s="6" t="s">
        <v>46</v>
      </c>
      <c r="D625" s="6">
        <f>4+8+2+6+11+2</f>
        <v>33</v>
      </c>
      <c r="E625" s="27">
        <f>1953.43+9442.94+522.42+1217.12+4912+552</f>
        <v>18599.91</v>
      </c>
    </row>
    <row r="626" spans="1:5" ht="12.75">
      <c r="A626" s="4" t="s">
        <v>83</v>
      </c>
      <c r="B626" s="6" t="s">
        <v>54</v>
      </c>
      <c r="C626" s="6" t="s">
        <v>46</v>
      </c>
      <c r="D626" s="6">
        <f>2+3+2+1+1+13+1+2+3+1</f>
        <v>29</v>
      </c>
      <c r="E626" s="27">
        <f>508.95+659.14+774.38+190.04+220+2778+590+472+656+320</f>
        <v>7168.51</v>
      </c>
    </row>
    <row r="627" spans="1:5" ht="12.75">
      <c r="A627" s="4" t="s">
        <v>92</v>
      </c>
      <c r="B627" s="6" t="s">
        <v>93</v>
      </c>
      <c r="C627" s="6" t="s">
        <v>46</v>
      </c>
      <c r="D627" s="6">
        <f>2+1+8+6+4+1</f>
        <v>22</v>
      </c>
      <c r="E627" s="27">
        <f>594.66+193.5+15578.98+1701.78+1044.42+318</f>
        <v>19431.339999999997</v>
      </c>
    </row>
    <row r="628" spans="1:5" ht="12.75">
      <c r="A628" s="4" t="s">
        <v>92</v>
      </c>
      <c r="B628" s="6" t="s">
        <v>94</v>
      </c>
      <c r="C628" s="6" t="s">
        <v>46</v>
      </c>
      <c r="D628" s="6">
        <f>27+1+17+1+31</f>
        <v>77</v>
      </c>
      <c r="E628" s="27">
        <f>11435.07+236.41+2940.08+343.21+14660.75</f>
        <v>29615.519999999997</v>
      </c>
    </row>
    <row r="629" spans="1:5" ht="12.75">
      <c r="A629" s="4" t="s">
        <v>92</v>
      </c>
      <c r="B629" s="6" t="s">
        <v>96</v>
      </c>
      <c r="C629" s="6" t="s">
        <v>46</v>
      </c>
      <c r="D629" s="6">
        <f>3</f>
        <v>3</v>
      </c>
      <c r="E629" s="27">
        <f>1058</f>
        <v>1058</v>
      </c>
    </row>
    <row r="630" spans="1:5" ht="12.75">
      <c r="A630" s="4" t="s">
        <v>97</v>
      </c>
      <c r="B630" s="6" t="s">
        <v>86</v>
      </c>
      <c r="C630" s="6" t="s">
        <v>46</v>
      </c>
      <c r="D630" s="6">
        <f>3</f>
        <v>3</v>
      </c>
      <c r="E630" s="27">
        <f>869.77</f>
        <v>869.77</v>
      </c>
    </row>
    <row r="631" spans="1:5" ht="12.75">
      <c r="A631" s="4" t="s">
        <v>97</v>
      </c>
      <c r="B631" s="6" t="s">
        <v>86</v>
      </c>
      <c r="C631" s="6" t="s">
        <v>43</v>
      </c>
      <c r="D631" s="6">
        <v>1</v>
      </c>
      <c r="E631" s="27">
        <v>419.07</v>
      </c>
    </row>
    <row r="632" spans="1:5" ht="12.75">
      <c r="A632" s="4" t="s">
        <v>97</v>
      </c>
      <c r="B632" s="6" t="s">
        <v>98</v>
      </c>
      <c r="C632" s="6" t="s">
        <v>46</v>
      </c>
      <c r="D632" s="6">
        <f>1+2+7+3</f>
        <v>13</v>
      </c>
      <c r="E632" s="27">
        <f>343.18+603.63+2368.3+623</f>
        <v>3938.11</v>
      </c>
    </row>
    <row r="633" spans="1:5" ht="12.75" hidden="1">
      <c r="A633" s="4" t="s">
        <v>97</v>
      </c>
      <c r="B633" s="6" t="s">
        <v>98</v>
      </c>
      <c r="C633" s="6" t="s">
        <v>43</v>
      </c>
      <c r="D633" s="6"/>
      <c r="E633" s="27"/>
    </row>
    <row r="634" spans="1:5" ht="12.75">
      <c r="A634" s="4" t="s">
        <v>100</v>
      </c>
      <c r="B634" s="6" t="s">
        <v>93</v>
      </c>
      <c r="C634" s="6" t="s">
        <v>46</v>
      </c>
      <c r="D634" s="6">
        <f>14+24+21</f>
        <v>59</v>
      </c>
      <c r="E634" s="27">
        <f>3043.52+11532.7+11174</f>
        <v>25750.22</v>
      </c>
    </row>
    <row r="635" spans="1:5" ht="12.75" hidden="1">
      <c r="A635" s="4" t="s">
        <v>100</v>
      </c>
      <c r="B635" s="6" t="s">
        <v>93</v>
      </c>
      <c r="C635" s="6" t="s">
        <v>43</v>
      </c>
      <c r="D635" s="6"/>
      <c r="E635" s="27"/>
    </row>
    <row r="636" spans="1:5" ht="12.75">
      <c r="A636" s="4" t="s">
        <v>100</v>
      </c>
      <c r="B636" s="6" t="s">
        <v>95</v>
      </c>
      <c r="C636" s="6" t="s">
        <v>46</v>
      </c>
      <c r="D636" s="6">
        <f>2+2+3+10+27+3</f>
        <v>47</v>
      </c>
      <c r="E636" s="27">
        <f>386.63+563.9+3313.98+2980+11566+1954</f>
        <v>20764.510000000002</v>
      </c>
    </row>
    <row r="637" spans="1:5" ht="12.75">
      <c r="A637" s="4" t="s">
        <v>100</v>
      </c>
      <c r="B637" s="6" t="s">
        <v>103</v>
      </c>
      <c r="C637" s="6" t="s">
        <v>46</v>
      </c>
      <c r="D637" s="6">
        <f>37+3+1</f>
        <v>41</v>
      </c>
      <c r="E637" s="27">
        <f>17614.45+392.83+130.57</f>
        <v>18137.850000000002</v>
      </c>
    </row>
    <row r="638" spans="1:5" ht="12.75">
      <c r="A638" s="4" t="s">
        <v>100</v>
      </c>
      <c r="B638" s="6" t="s">
        <v>96</v>
      </c>
      <c r="C638" s="6" t="s">
        <v>46</v>
      </c>
      <c r="D638" s="6">
        <f>14+2+4+7+81+1+4+3+6</f>
        <v>122</v>
      </c>
      <c r="E638" s="27">
        <f>3615.97+3170.58+820.1+13859.26+28597.95+2333.2+1105.36+968+1386</f>
        <v>55856.42</v>
      </c>
    </row>
    <row r="639" spans="1:5" ht="12.75">
      <c r="A639" s="4" t="s">
        <v>100</v>
      </c>
      <c r="B639" s="6" t="s">
        <v>106</v>
      </c>
      <c r="C639" s="6" t="s">
        <v>46</v>
      </c>
      <c r="D639" s="6">
        <f>20+4+16+1+30</f>
        <v>71</v>
      </c>
      <c r="E639" s="27">
        <f>7116.49+1105.36+5726+762+13355</f>
        <v>28064.85</v>
      </c>
    </row>
    <row r="640" spans="1:5" ht="12.75">
      <c r="A640" s="4" t="s">
        <v>100</v>
      </c>
      <c r="B640" s="6" t="s">
        <v>106</v>
      </c>
      <c r="C640" s="6" t="s">
        <v>43</v>
      </c>
      <c r="D640" s="6">
        <v>16</v>
      </c>
      <c r="E640" s="27">
        <v>9364.02</v>
      </c>
    </row>
    <row r="641" spans="1:5" ht="12.75">
      <c r="A641" s="4" t="s">
        <v>100</v>
      </c>
      <c r="B641" s="6" t="s">
        <v>107</v>
      </c>
      <c r="C641" s="6" t="s">
        <v>46</v>
      </c>
      <c r="D641" s="6">
        <f>46+42+6+6+1+5+31</f>
        <v>137</v>
      </c>
      <c r="E641" s="27">
        <f>26872.81+22208.28+2184.65+3178.41+133+1331+12860</f>
        <v>68768.15</v>
      </c>
    </row>
    <row r="642" spans="1:5" ht="12.75">
      <c r="A642" s="4" t="s">
        <v>100</v>
      </c>
      <c r="B642" s="6" t="s">
        <v>108</v>
      </c>
      <c r="C642" s="6" t="s">
        <v>46</v>
      </c>
      <c r="D642" s="6">
        <f>1+2+4+8+1+1+1</f>
        <v>18</v>
      </c>
      <c r="E642" s="27">
        <f>186.61+644.33+1208.39+1313.69+343.21+318+318</f>
        <v>4332.2300000000005</v>
      </c>
    </row>
    <row r="643" spans="1:5" ht="12.75">
      <c r="A643" s="4" t="s">
        <v>100</v>
      </c>
      <c r="B643" s="6" t="s">
        <v>110</v>
      </c>
      <c r="C643" s="6" t="s">
        <v>46</v>
      </c>
      <c r="D643" s="6">
        <f>1+1+4+6+1+4+5</f>
        <v>22</v>
      </c>
      <c r="E643" s="27">
        <f>332.38+1371.26+1784.57+2060.71+133.71+1105.36+2395</f>
        <v>9182.99</v>
      </c>
    </row>
    <row r="644" spans="1:5" ht="12.75">
      <c r="A644" s="4" t="s">
        <v>100</v>
      </c>
      <c r="B644" s="6" t="s">
        <v>112</v>
      </c>
      <c r="C644" s="6" t="s">
        <v>46</v>
      </c>
      <c r="D644" s="6">
        <f>5+1+3+2</f>
        <v>11</v>
      </c>
      <c r="E644" s="27">
        <f>3690.53+318+7183+931</f>
        <v>12122.53</v>
      </c>
    </row>
    <row r="645" spans="1:5" ht="12.75">
      <c r="A645" s="4" t="s">
        <v>100</v>
      </c>
      <c r="B645" s="6" t="s">
        <v>116</v>
      </c>
      <c r="C645" s="6" t="s">
        <v>46</v>
      </c>
      <c r="D645" s="6">
        <f>6+8+1</f>
        <v>15</v>
      </c>
      <c r="E645" s="27">
        <f>2403.51+6191.7+392.73</f>
        <v>8987.939999999999</v>
      </c>
    </row>
    <row r="646" spans="1:5" ht="12.75">
      <c r="A646" s="4" t="s">
        <v>100</v>
      </c>
      <c r="B646" s="6" t="s">
        <v>117</v>
      </c>
      <c r="C646" s="6" t="s">
        <v>43</v>
      </c>
      <c r="D646" s="6">
        <f>3+1+15</f>
        <v>19</v>
      </c>
      <c r="E646" s="27">
        <f>6765.26+609.27+9938</f>
        <v>17312.53</v>
      </c>
    </row>
    <row r="647" spans="1:5" ht="12.75">
      <c r="A647" s="4" t="s">
        <v>100</v>
      </c>
      <c r="B647" s="6" t="s">
        <v>117</v>
      </c>
      <c r="C647" s="6" t="s">
        <v>46</v>
      </c>
      <c r="D647" s="6">
        <f>7</f>
        <v>7</v>
      </c>
      <c r="E647" s="27">
        <f>2341</f>
        <v>2341</v>
      </c>
    </row>
    <row r="648" spans="1:5" ht="12.75">
      <c r="A648" s="4" t="s">
        <v>100</v>
      </c>
      <c r="B648" s="6" t="s">
        <v>118</v>
      </c>
      <c r="C648" s="6" t="s">
        <v>43</v>
      </c>
      <c r="D648" s="6">
        <f>1.5+3</f>
        <v>4.5</v>
      </c>
      <c r="E648" s="27">
        <f>801.64+3721.69</f>
        <v>4523.33</v>
      </c>
    </row>
    <row r="649" spans="1:5" ht="12.75">
      <c r="A649" s="4" t="s">
        <v>100</v>
      </c>
      <c r="B649" s="6" t="s">
        <v>118</v>
      </c>
      <c r="C649" s="6" t="s">
        <v>46</v>
      </c>
      <c r="D649" s="6">
        <f>26+1+1</f>
        <v>28</v>
      </c>
      <c r="E649" s="27">
        <f>9712.53+318+311</f>
        <v>10341.53</v>
      </c>
    </row>
    <row r="650" spans="1:5" ht="12.75">
      <c r="A650" s="4" t="s">
        <v>100</v>
      </c>
      <c r="B650" s="6" t="s">
        <v>120</v>
      </c>
      <c r="C650" s="6" t="s">
        <v>46</v>
      </c>
      <c r="D650" s="6">
        <f>3+8+2+4+1+21+2</f>
        <v>41</v>
      </c>
      <c r="E650" s="27">
        <f>560.15+1142.7+952.48+1017.74+342.87+5503+472</f>
        <v>9990.939999999999</v>
      </c>
    </row>
    <row r="651" spans="1:5" ht="12.75">
      <c r="A651" s="4" t="s">
        <v>100</v>
      </c>
      <c r="B651" s="6" t="s">
        <v>123</v>
      </c>
      <c r="C651" s="6" t="s">
        <v>46</v>
      </c>
      <c r="D651" s="6">
        <f>2+12</f>
        <v>14</v>
      </c>
      <c r="E651" s="27">
        <f>990.08+4094</f>
        <v>5084.08</v>
      </c>
    </row>
    <row r="652" spans="1:5" ht="12.75">
      <c r="A652" s="4" t="s">
        <v>126</v>
      </c>
      <c r="B652" s="6" t="s">
        <v>93</v>
      </c>
      <c r="C652" s="6" t="s">
        <v>46</v>
      </c>
      <c r="D652" s="6">
        <f>6+71+2+2</f>
        <v>81</v>
      </c>
      <c r="E652" s="27">
        <f>3806.42+18563.25+264.33+692.79</f>
        <v>23326.79</v>
      </c>
    </row>
    <row r="653" spans="1:5" ht="12.75">
      <c r="A653" s="4" t="s">
        <v>126</v>
      </c>
      <c r="B653" s="6" t="s">
        <v>121</v>
      </c>
      <c r="C653" s="6" t="s">
        <v>46</v>
      </c>
      <c r="D653" s="6">
        <f>4+2+3+4+47+1+3+1+9+5+2+1</f>
        <v>82</v>
      </c>
      <c r="E653" s="27">
        <f>1314.27+434.5+701.75+1913.98+11185.38+343.21+1202.45+133+4359+2494+730+441</f>
        <v>25252.539999999997</v>
      </c>
    </row>
    <row r="654" spans="1:5" ht="12.75">
      <c r="A654" s="4" t="s">
        <v>126</v>
      </c>
      <c r="B654" s="6" t="s">
        <v>128</v>
      </c>
      <c r="C654" s="6" t="s">
        <v>46</v>
      </c>
      <c r="D654" s="6">
        <f>8</f>
        <v>8</v>
      </c>
      <c r="E654" s="27">
        <f>3328</f>
        <v>3328</v>
      </c>
    </row>
    <row r="655" spans="1:5" ht="12.75">
      <c r="A655" s="4" t="s">
        <v>126</v>
      </c>
      <c r="B655" s="6" t="s">
        <v>87</v>
      </c>
      <c r="C655" s="6" t="s">
        <v>46</v>
      </c>
      <c r="D655" s="6">
        <f>3</f>
        <v>3</v>
      </c>
      <c r="E655" s="27">
        <f>1487.14</f>
        <v>1487.14</v>
      </c>
    </row>
    <row r="656" spans="1:5" ht="12.75">
      <c r="A656" s="4" t="s">
        <v>129</v>
      </c>
      <c r="B656" s="6" t="s">
        <v>130</v>
      </c>
      <c r="C656" s="6" t="s">
        <v>46</v>
      </c>
      <c r="D656" s="6">
        <f>67+1+6</f>
        <v>74</v>
      </c>
      <c r="E656" s="27">
        <f>33240.98+450+3528</f>
        <v>37218.98</v>
      </c>
    </row>
    <row r="657" spans="1:5" ht="12.75">
      <c r="A657" s="4" t="s">
        <v>129</v>
      </c>
      <c r="B657" s="6" t="s">
        <v>84</v>
      </c>
      <c r="C657" s="6" t="s">
        <v>46</v>
      </c>
      <c r="D657" s="6">
        <f>2</f>
        <v>2</v>
      </c>
      <c r="E657" s="27">
        <f>737</f>
        <v>737</v>
      </c>
    </row>
    <row r="658" spans="1:5" ht="12.75">
      <c r="A658" s="4" t="s">
        <v>129</v>
      </c>
      <c r="B658" s="6" t="s">
        <v>131</v>
      </c>
      <c r="C658" s="6" t="s">
        <v>46</v>
      </c>
      <c r="D658" s="6">
        <f>4+10</f>
        <v>14</v>
      </c>
      <c r="E658" s="27">
        <f>2336.96+5251.87</f>
        <v>7588.83</v>
      </c>
    </row>
    <row r="659" spans="1:5" ht="12.75">
      <c r="A659" s="4" t="s">
        <v>129</v>
      </c>
      <c r="B659" s="6" t="s">
        <v>132</v>
      </c>
      <c r="C659" s="6" t="s">
        <v>46</v>
      </c>
      <c r="D659" s="6">
        <f>2+1+4</f>
        <v>7</v>
      </c>
      <c r="E659" s="27">
        <f>514.8+343.21+1111</f>
        <v>1969.01</v>
      </c>
    </row>
    <row r="660" spans="1:5" ht="12.75" hidden="1">
      <c r="A660" s="4" t="s">
        <v>129</v>
      </c>
      <c r="B660" s="6" t="s">
        <v>132</v>
      </c>
      <c r="C660" s="6" t="s">
        <v>43</v>
      </c>
      <c r="D660" s="6"/>
      <c r="E660" s="27"/>
    </row>
    <row r="661" spans="1:5" ht="12.75">
      <c r="A661" s="4" t="s">
        <v>129</v>
      </c>
      <c r="B661" s="6" t="s">
        <v>87</v>
      </c>
      <c r="C661" s="6" t="s">
        <v>46</v>
      </c>
      <c r="D661" s="6">
        <f>8+1+1</f>
        <v>10</v>
      </c>
      <c r="E661" s="27">
        <f>1502.13+318+318</f>
        <v>2138.13</v>
      </c>
    </row>
    <row r="662" spans="1:5" ht="12.75">
      <c r="A662" s="4" t="s">
        <v>129</v>
      </c>
      <c r="B662" s="6" t="s">
        <v>88</v>
      </c>
      <c r="C662" s="6" t="s">
        <v>46</v>
      </c>
      <c r="D662" s="6">
        <f>2+2+1</f>
        <v>5</v>
      </c>
      <c r="E662" s="27">
        <f>956.37+568+318</f>
        <v>1842.37</v>
      </c>
    </row>
    <row r="663" spans="1:5" ht="12.75" hidden="1">
      <c r="A663" s="4" t="s">
        <v>129</v>
      </c>
      <c r="B663" s="6" t="s">
        <v>88</v>
      </c>
      <c r="C663" s="6" t="s">
        <v>43</v>
      </c>
      <c r="D663" s="6"/>
      <c r="E663" s="27"/>
    </row>
    <row r="664" spans="1:5" ht="12.75">
      <c r="A664" s="4" t="s">
        <v>129</v>
      </c>
      <c r="B664" s="6" t="s">
        <v>134</v>
      </c>
      <c r="C664" s="6" t="s">
        <v>46</v>
      </c>
      <c r="D664" s="6">
        <f>7+50+4+1+10</f>
        <v>72</v>
      </c>
      <c r="E664" s="27">
        <f>1730.59+14628.87+1105.36+318+2548</f>
        <v>20330.82</v>
      </c>
    </row>
    <row r="665" spans="1:5" ht="12.75">
      <c r="A665" s="4" t="s">
        <v>129</v>
      </c>
      <c r="B665" s="6" t="s">
        <v>89</v>
      </c>
      <c r="C665" s="6" t="s">
        <v>46</v>
      </c>
      <c r="D665" s="6">
        <f>32+3+1+16+1+2+2</f>
        <v>57</v>
      </c>
      <c r="E665" s="27">
        <f>16375.75+831.23+180.08+6649.35+318+782+435</f>
        <v>25571.410000000003</v>
      </c>
    </row>
    <row r="666" spans="1:5" ht="12.75">
      <c r="A666" s="4" t="s">
        <v>129</v>
      </c>
      <c r="B666" s="6" t="s">
        <v>89</v>
      </c>
      <c r="C666" s="6" t="s">
        <v>43</v>
      </c>
      <c r="D666" s="6">
        <v>4.6</v>
      </c>
      <c r="E666" s="27">
        <f>2338.39</f>
        <v>2338.39</v>
      </c>
    </row>
    <row r="667" spans="1:5" ht="12.75">
      <c r="A667" s="4" t="s">
        <v>129</v>
      </c>
      <c r="B667" s="6" t="s">
        <v>136</v>
      </c>
      <c r="C667" s="6" t="s">
        <v>46</v>
      </c>
      <c r="D667" s="6">
        <f>5+2+4</f>
        <v>11</v>
      </c>
      <c r="E667" s="27">
        <f>1198.77+484.68+1105.36</f>
        <v>2788.81</v>
      </c>
    </row>
    <row r="668" spans="1:5" ht="12.75">
      <c r="A668" s="4" t="s">
        <v>129</v>
      </c>
      <c r="B668" s="6" t="s">
        <v>135</v>
      </c>
      <c r="C668" s="6" t="s">
        <v>46</v>
      </c>
      <c r="D668" s="6">
        <f>8+12+2+13+2</f>
        <v>37</v>
      </c>
      <c r="E668" s="27">
        <f>3854.58+6626.08+1061.85+4720+565</f>
        <v>16827.510000000002</v>
      </c>
    </row>
    <row r="669" spans="1:5" ht="12.75" hidden="1">
      <c r="A669" s="4" t="s">
        <v>129</v>
      </c>
      <c r="B669" s="6" t="s">
        <v>135</v>
      </c>
      <c r="C669" s="6" t="s">
        <v>43</v>
      </c>
      <c r="D669" s="6"/>
      <c r="E669" s="27"/>
    </row>
    <row r="670" spans="1:5" ht="12.75">
      <c r="A670" s="4" t="s">
        <v>129</v>
      </c>
      <c r="B670" s="6" t="s">
        <v>91</v>
      </c>
      <c r="C670" s="6" t="s">
        <v>46</v>
      </c>
      <c r="D670" s="6">
        <v>1</v>
      </c>
      <c r="E670" s="27">
        <f>393.11</f>
        <v>393.11</v>
      </c>
    </row>
    <row r="671" spans="1:5" ht="12.75">
      <c r="A671" s="4" t="s">
        <v>138</v>
      </c>
      <c r="B671" s="6" t="s">
        <v>93</v>
      </c>
      <c r="C671" s="6" t="s">
        <v>46</v>
      </c>
      <c r="D671" s="6">
        <f>1</f>
        <v>1</v>
      </c>
      <c r="E671" s="27">
        <f>294.95</f>
        <v>294.95</v>
      </c>
    </row>
    <row r="672" spans="1:5" ht="12.75">
      <c r="A672" s="4" t="s">
        <v>138</v>
      </c>
      <c r="B672" s="6" t="s">
        <v>94</v>
      </c>
      <c r="C672" s="6" t="s">
        <v>46</v>
      </c>
      <c r="D672" s="6">
        <f>1+2</f>
        <v>3</v>
      </c>
      <c r="E672" s="27">
        <f>1543.57+442.53</f>
        <v>1986.1</v>
      </c>
    </row>
    <row r="673" spans="1:5" ht="12.75">
      <c r="A673" s="4" t="s">
        <v>138</v>
      </c>
      <c r="B673" s="6" t="s">
        <v>96</v>
      </c>
      <c r="C673" s="6" t="s">
        <v>46</v>
      </c>
      <c r="D673" s="6">
        <f>5+5</f>
        <v>10</v>
      </c>
      <c r="E673" s="27">
        <f>6684.15+2607</f>
        <v>9291.15</v>
      </c>
    </row>
    <row r="674" spans="1:5" ht="12.75">
      <c r="A674" s="4" t="s">
        <v>138</v>
      </c>
      <c r="B674" s="6" t="s">
        <v>106</v>
      </c>
      <c r="C674" s="6" t="s">
        <v>46</v>
      </c>
      <c r="D674" s="6">
        <f>2</f>
        <v>2</v>
      </c>
      <c r="E674" s="27">
        <f>346.3</f>
        <v>346.3</v>
      </c>
    </row>
    <row r="675" spans="1:5" ht="12.75" hidden="1">
      <c r="A675" s="4" t="s">
        <v>138</v>
      </c>
      <c r="B675" s="6" t="s">
        <v>107</v>
      </c>
      <c r="C675" s="6" t="s">
        <v>46</v>
      </c>
      <c r="D675" s="6"/>
      <c r="E675" s="27"/>
    </row>
    <row r="676" spans="1:5" ht="12.75">
      <c r="A676" s="4" t="s">
        <v>138</v>
      </c>
      <c r="B676" s="6" t="s">
        <v>108</v>
      </c>
      <c r="C676" s="6" t="s">
        <v>46</v>
      </c>
      <c r="D676" s="6">
        <f>2+10+12+3+2+1</f>
        <v>30</v>
      </c>
      <c r="E676" s="27">
        <f>373.54+5010.5+5882.23+479.81+1756+311</f>
        <v>13813.08</v>
      </c>
    </row>
    <row r="677" spans="1:5" ht="12.75">
      <c r="A677" s="4" t="s">
        <v>142</v>
      </c>
      <c r="B677" s="6" t="s">
        <v>93</v>
      </c>
      <c r="C677" s="6" t="s">
        <v>46</v>
      </c>
      <c r="D677" s="6">
        <f>23</f>
        <v>23</v>
      </c>
      <c r="E677" s="27">
        <f>12658.86</f>
        <v>12658.86</v>
      </c>
    </row>
    <row r="678" spans="1:5" ht="12.75" hidden="1">
      <c r="A678" s="4" t="s">
        <v>142</v>
      </c>
      <c r="B678" s="6" t="s">
        <v>94</v>
      </c>
      <c r="C678" s="6" t="s">
        <v>46</v>
      </c>
      <c r="D678" s="6"/>
      <c r="E678" s="27"/>
    </row>
    <row r="679" spans="1:5" ht="12.75">
      <c r="A679" s="4" t="s">
        <v>142</v>
      </c>
      <c r="B679" s="6" t="s">
        <v>96</v>
      </c>
      <c r="C679" s="6" t="s">
        <v>46</v>
      </c>
      <c r="D679" s="6">
        <f>2+17</f>
        <v>19</v>
      </c>
      <c r="E679" s="27">
        <f>1913.96+6519.7</f>
        <v>8433.66</v>
      </c>
    </row>
    <row r="680" spans="1:5" ht="12.75">
      <c r="A680" s="4" t="s">
        <v>142</v>
      </c>
      <c r="B680" s="6" t="s">
        <v>106</v>
      </c>
      <c r="C680" s="6" t="s">
        <v>46</v>
      </c>
      <c r="D680" s="6">
        <v>4</v>
      </c>
      <c r="E680" s="27">
        <v>1684.83</v>
      </c>
    </row>
    <row r="681" spans="1:5" ht="12.75">
      <c r="A681" s="4" t="s">
        <v>142</v>
      </c>
      <c r="B681" s="6" t="s">
        <v>107</v>
      </c>
      <c r="C681" s="6" t="s">
        <v>46</v>
      </c>
      <c r="D681" s="6">
        <v>6</v>
      </c>
      <c r="E681" s="27">
        <v>2268.76</v>
      </c>
    </row>
    <row r="682" spans="1:5" ht="12.75">
      <c r="A682" s="4" t="s">
        <v>142</v>
      </c>
      <c r="B682" s="6" t="s">
        <v>108</v>
      </c>
      <c r="C682" s="6" t="s">
        <v>46</v>
      </c>
      <c r="D682" s="6">
        <v>2</v>
      </c>
      <c r="E682" s="27">
        <v>338.34</v>
      </c>
    </row>
    <row r="683" spans="1:5" ht="12.75">
      <c r="A683" s="4" t="s">
        <v>142</v>
      </c>
      <c r="B683" s="6" t="s">
        <v>112</v>
      </c>
      <c r="C683" s="6" t="s">
        <v>46</v>
      </c>
      <c r="D683" s="6">
        <f>9+2</f>
        <v>11</v>
      </c>
      <c r="E683" s="27">
        <f>4522.68+338.34</f>
        <v>4861.02</v>
      </c>
    </row>
    <row r="684" spans="1:5" ht="12.75" hidden="1">
      <c r="A684" s="4" t="s">
        <v>142</v>
      </c>
      <c r="B684" s="6" t="s">
        <v>120</v>
      </c>
      <c r="C684" s="6" t="s">
        <v>46</v>
      </c>
      <c r="D684" s="6"/>
      <c r="E684" s="27"/>
    </row>
    <row r="685" spans="1:5" ht="12.75" hidden="1">
      <c r="A685" s="4"/>
      <c r="B685" s="6"/>
      <c r="C685" s="6"/>
      <c r="D685" s="6"/>
      <c r="E685" s="27"/>
    </row>
    <row r="686" spans="1:5" ht="12.75">
      <c r="A686" s="15" t="s">
        <v>145</v>
      </c>
      <c r="B686" s="6"/>
      <c r="C686" s="6"/>
      <c r="D686" s="6"/>
      <c r="E686" s="28">
        <f>SUM(E593:E685)</f>
        <v>896085.8099999998</v>
      </c>
    </row>
    <row r="687" spans="1:5" ht="12.75" hidden="1">
      <c r="A687" s="23"/>
      <c r="B687" s="8"/>
      <c r="C687" s="8"/>
      <c r="D687" s="8"/>
      <c r="E687" s="31"/>
    </row>
    <row r="688" spans="1:5" ht="12.75">
      <c r="A688" s="45" t="s">
        <v>196</v>
      </c>
      <c r="B688" s="46"/>
      <c r="C688" s="46"/>
      <c r="D688" s="46"/>
      <c r="E688" s="47"/>
    </row>
    <row r="689" spans="1:5" ht="12.75">
      <c r="A689" s="4" t="s">
        <v>138</v>
      </c>
      <c r="B689" s="6" t="s">
        <v>108</v>
      </c>
      <c r="C689" s="6" t="s">
        <v>43</v>
      </c>
      <c r="D689" s="6">
        <f>48+22</f>
        <v>70</v>
      </c>
      <c r="E689" s="27">
        <f>30233+15782</f>
        <v>46015</v>
      </c>
    </row>
    <row r="690" spans="1:5" ht="12.75">
      <c r="A690" s="4" t="s">
        <v>100</v>
      </c>
      <c r="B690" s="6" t="s">
        <v>108</v>
      </c>
      <c r="C690" s="6" t="s">
        <v>43</v>
      </c>
      <c r="D690" s="6">
        <f>22</f>
        <v>22</v>
      </c>
      <c r="E690" s="27">
        <f>16651</f>
        <v>16651</v>
      </c>
    </row>
    <row r="691" spans="1:5" ht="12.75">
      <c r="A691" s="4" t="s">
        <v>48</v>
      </c>
      <c r="B691" s="6" t="s">
        <v>78</v>
      </c>
      <c r="C691" s="6" t="s">
        <v>43</v>
      </c>
      <c r="D691" s="6">
        <f>19</f>
        <v>19</v>
      </c>
      <c r="E691" s="27">
        <f>11651</f>
        <v>11651</v>
      </c>
    </row>
    <row r="692" spans="1:5" ht="12.75">
      <c r="A692" s="4" t="s">
        <v>83</v>
      </c>
      <c r="B692" s="6" t="s">
        <v>87</v>
      </c>
      <c r="C692" s="6" t="s">
        <v>43</v>
      </c>
      <c r="D692" s="6">
        <f>20</f>
        <v>20</v>
      </c>
      <c r="E692" s="27">
        <f>13920</f>
        <v>13920</v>
      </c>
    </row>
    <row r="693" spans="1:5" ht="12.75">
      <c r="A693" s="15" t="s">
        <v>145</v>
      </c>
      <c r="B693" s="6"/>
      <c r="C693" s="6"/>
      <c r="D693" s="6"/>
      <c r="E693" s="28">
        <f>SUM(E689:E692)</f>
        <v>88237</v>
      </c>
    </row>
    <row r="694" spans="1:5" ht="12.75">
      <c r="A694" s="45" t="s">
        <v>156</v>
      </c>
      <c r="B694" s="46"/>
      <c r="C694" s="46"/>
      <c r="D694" s="46"/>
      <c r="E694" s="47"/>
    </row>
    <row r="695" spans="1:5" ht="12.75">
      <c r="A695" s="4" t="s">
        <v>48</v>
      </c>
      <c r="B695" s="6" t="s">
        <v>61</v>
      </c>
      <c r="C695" s="6" t="s">
        <v>44</v>
      </c>
      <c r="D695" s="6">
        <f>2+2</f>
        <v>4</v>
      </c>
      <c r="E695" s="27">
        <f>2349.21+1580.71</f>
        <v>3929.92</v>
      </c>
    </row>
    <row r="696" spans="1:5" ht="12.75">
      <c r="A696" s="4" t="s">
        <v>48</v>
      </c>
      <c r="B696" s="6" t="s">
        <v>70</v>
      </c>
      <c r="C696" s="6" t="s">
        <v>44</v>
      </c>
      <c r="D696" s="6">
        <f>2</f>
        <v>2</v>
      </c>
      <c r="E696" s="27">
        <f>3684.09</f>
        <v>3684.09</v>
      </c>
    </row>
    <row r="697" spans="1:5" ht="12.75">
      <c r="A697" s="4" t="s">
        <v>48</v>
      </c>
      <c r="B697" s="6" t="s">
        <v>78</v>
      </c>
      <c r="C697" s="6" t="s">
        <v>44</v>
      </c>
      <c r="D697" s="6">
        <f>2+2</f>
        <v>4</v>
      </c>
      <c r="E697" s="27">
        <f>2908.56+9430.23</f>
        <v>12338.789999999999</v>
      </c>
    </row>
    <row r="698" spans="1:5" ht="12.75">
      <c r="A698" s="4" t="s">
        <v>48</v>
      </c>
      <c r="B698" s="6" t="s">
        <v>79</v>
      </c>
      <c r="C698" s="6" t="s">
        <v>44</v>
      </c>
      <c r="D698" s="6">
        <f>2</f>
        <v>2</v>
      </c>
      <c r="E698" s="27">
        <f>1250</f>
        <v>1250</v>
      </c>
    </row>
    <row r="699" spans="1:5" ht="12.75">
      <c r="A699" s="4" t="s">
        <v>48</v>
      </c>
      <c r="B699" s="6" t="s">
        <v>81</v>
      </c>
      <c r="C699" s="6" t="s">
        <v>44</v>
      </c>
      <c r="D699" s="6">
        <f>2</f>
        <v>2</v>
      </c>
      <c r="E699" s="27">
        <f>2080</f>
        <v>2080</v>
      </c>
    </row>
    <row r="700" spans="1:5" ht="12.75">
      <c r="A700" s="4" t="s">
        <v>48</v>
      </c>
      <c r="B700" s="6" t="s">
        <v>80</v>
      </c>
      <c r="C700" s="6" t="s">
        <v>44</v>
      </c>
      <c r="D700" s="6">
        <f>2+2+2</f>
        <v>6</v>
      </c>
      <c r="E700" s="27">
        <f>1580.71+8643.5+1250</f>
        <v>11474.21</v>
      </c>
    </row>
    <row r="701" spans="1:5" ht="12.75">
      <c r="A701" s="4" t="s">
        <v>138</v>
      </c>
      <c r="B701" s="6" t="s">
        <v>93</v>
      </c>
      <c r="C701" s="6" t="s">
        <v>44</v>
      </c>
      <c r="D701" s="6">
        <v>2</v>
      </c>
      <c r="E701" s="27">
        <v>2957.23</v>
      </c>
    </row>
    <row r="702" spans="1:5" ht="12.75">
      <c r="A702" s="4" t="s">
        <v>138</v>
      </c>
      <c r="B702" s="6" t="s">
        <v>108</v>
      </c>
      <c r="C702" s="6" t="s">
        <v>44</v>
      </c>
      <c r="D702" s="6">
        <f>2+2+2</f>
        <v>6</v>
      </c>
      <c r="E702" s="27">
        <f>1633.91+2060.7+3552.8</f>
        <v>7247.41</v>
      </c>
    </row>
    <row r="703" spans="1:5" ht="12.75" hidden="1">
      <c r="A703" s="4" t="s">
        <v>83</v>
      </c>
      <c r="B703" s="6" t="s">
        <v>87</v>
      </c>
      <c r="C703" s="6" t="s">
        <v>46</v>
      </c>
      <c r="D703" s="6"/>
      <c r="E703" s="27"/>
    </row>
    <row r="704" spans="1:5" ht="12.75">
      <c r="A704" s="4" t="s">
        <v>83</v>
      </c>
      <c r="B704" s="6" t="s">
        <v>54</v>
      </c>
      <c r="C704" s="6" t="s">
        <v>46</v>
      </c>
      <c r="D704" s="6">
        <f>2+2</f>
        <v>4</v>
      </c>
      <c r="E704" s="27">
        <f>1633.91+1250</f>
        <v>2883.91</v>
      </c>
    </row>
    <row r="705" spans="1:5" ht="12.75">
      <c r="A705" s="4" t="s">
        <v>92</v>
      </c>
      <c r="B705" s="6" t="s">
        <v>94</v>
      </c>
      <c r="C705" s="6" t="s">
        <v>46</v>
      </c>
      <c r="D705" s="6">
        <f>2</f>
        <v>2</v>
      </c>
      <c r="E705" s="27">
        <f>1250</f>
        <v>1250</v>
      </c>
    </row>
    <row r="706" spans="1:5" ht="12.75">
      <c r="A706" s="4" t="s">
        <v>92</v>
      </c>
      <c r="B706" s="6" t="s">
        <v>96</v>
      </c>
      <c r="C706" s="6" t="s">
        <v>46</v>
      </c>
      <c r="D706" s="6">
        <f>2+2+2</f>
        <v>6</v>
      </c>
      <c r="E706" s="27">
        <f>2358.85+1580.71+2943.53</f>
        <v>6883.09</v>
      </c>
    </row>
    <row r="707" spans="1:5" ht="12.75">
      <c r="A707" s="4" t="s">
        <v>100</v>
      </c>
      <c r="B707" s="6" t="s">
        <v>93</v>
      </c>
      <c r="C707" s="6" t="s">
        <v>46</v>
      </c>
      <c r="D707" s="3">
        <v>2</v>
      </c>
      <c r="E707" s="33">
        <f>2080</f>
        <v>2080</v>
      </c>
    </row>
    <row r="708" spans="1:5" ht="12.75">
      <c r="A708" s="4" t="s">
        <v>100</v>
      </c>
      <c r="B708" s="6" t="s">
        <v>95</v>
      </c>
      <c r="C708" s="6" t="s">
        <v>46</v>
      </c>
      <c r="D708" s="3">
        <v>2</v>
      </c>
      <c r="E708" s="33">
        <f>2080</f>
        <v>2080</v>
      </c>
    </row>
    <row r="709" spans="1:5" ht="12.75">
      <c r="A709" s="4" t="s">
        <v>100</v>
      </c>
      <c r="B709" s="6" t="s">
        <v>96</v>
      </c>
      <c r="C709" s="6" t="s">
        <v>46</v>
      </c>
      <c r="D709" s="3">
        <v>2</v>
      </c>
      <c r="E709" s="33">
        <v>2124.93</v>
      </c>
    </row>
    <row r="710" spans="1:5" ht="12.75">
      <c r="A710" s="4" t="s">
        <v>100</v>
      </c>
      <c r="B710" s="6" t="s">
        <v>107</v>
      </c>
      <c r="C710" s="6" t="s">
        <v>46</v>
      </c>
      <c r="D710" s="3">
        <f>2+2</f>
        <v>4</v>
      </c>
      <c r="E710" s="33">
        <f>1580.71+8683.54</f>
        <v>10264.25</v>
      </c>
    </row>
    <row r="711" spans="1:5" ht="12.75">
      <c r="A711" s="4" t="s">
        <v>100</v>
      </c>
      <c r="B711" s="6" t="s">
        <v>108</v>
      </c>
      <c r="C711" s="6" t="s">
        <v>46</v>
      </c>
      <c r="D711" s="3">
        <f>2+2</f>
        <v>4</v>
      </c>
      <c r="E711" s="33">
        <f>1580.71+8683.54</f>
        <v>10264.25</v>
      </c>
    </row>
    <row r="712" spans="1:5" ht="12.75">
      <c r="A712" s="4" t="s">
        <v>100</v>
      </c>
      <c r="B712" s="6" t="s">
        <v>110</v>
      </c>
      <c r="C712" s="6" t="s">
        <v>46</v>
      </c>
      <c r="D712" s="3">
        <f>2+2+2</f>
        <v>6</v>
      </c>
      <c r="E712" s="33">
        <f>1580.71+8683.54+1250</f>
        <v>11514.25</v>
      </c>
    </row>
    <row r="713" spans="1:5" ht="12.75">
      <c r="A713" s="4" t="s">
        <v>100</v>
      </c>
      <c r="B713" s="6" t="s">
        <v>117</v>
      </c>
      <c r="C713" s="6" t="s">
        <v>46</v>
      </c>
      <c r="D713" s="3">
        <v>2</v>
      </c>
      <c r="E713" s="33">
        <v>2358.85</v>
      </c>
    </row>
    <row r="714" spans="1:5" ht="12.75">
      <c r="A714" s="4" t="s">
        <v>100</v>
      </c>
      <c r="B714" s="6" t="s">
        <v>120</v>
      </c>
      <c r="C714" s="6" t="s">
        <v>46</v>
      </c>
      <c r="D714" s="3">
        <f>2+2</f>
        <v>4</v>
      </c>
      <c r="E714" s="33">
        <f>1580.71+8643.5</f>
        <v>10224.21</v>
      </c>
    </row>
    <row r="715" spans="1:5" ht="12.75">
      <c r="A715" s="4" t="s">
        <v>126</v>
      </c>
      <c r="B715" s="6" t="s">
        <v>93</v>
      </c>
      <c r="C715" s="6" t="s">
        <v>46</v>
      </c>
      <c r="D715" s="3">
        <v>2</v>
      </c>
      <c r="E715" s="33">
        <f>2957.23</f>
        <v>2957.23</v>
      </c>
    </row>
    <row r="716" spans="1:5" ht="12.75">
      <c r="A716" s="4" t="s">
        <v>129</v>
      </c>
      <c r="B716" s="6" t="s">
        <v>130</v>
      </c>
      <c r="C716" s="6" t="s">
        <v>46</v>
      </c>
      <c r="D716" s="3">
        <v>2</v>
      </c>
      <c r="E716" s="33">
        <f>3386.8</f>
        <v>3386.8</v>
      </c>
    </row>
    <row r="717" spans="1:5" ht="12.75">
      <c r="A717" s="4" t="s">
        <v>129</v>
      </c>
      <c r="B717" s="6" t="s">
        <v>84</v>
      </c>
      <c r="C717" s="6" t="s">
        <v>46</v>
      </c>
      <c r="D717" s="3">
        <f>2+2</f>
        <v>4</v>
      </c>
      <c r="E717" s="33">
        <f>1580.71+8643.5</f>
        <v>10224.21</v>
      </c>
    </row>
    <row r="718" spans="1:5" ht="12.75">
      <c r="A718" s="4" t="s">
        <v>129</v>
      </c>
      <c r="B718" s="6" t="s">
        <v>132</v>
      </c>
      <c r="C718" s="6" t="s">
        <v>46</v>
      </c>
      <c r="D718" s="3">
        <f>2+2+2</f>
        <v>6</v>
      </c>
      <c r="E718" s="33">
        <f>2318.81+2349.41+3386.8</f>
        <v>8055.0199999999995</v>
      </c>
    </row>
    <row r="719" spans="1:5" ht="12.75">
      <c r="A719" s="4" t="s">
        <v>129</v>
      </c>
      <c r="B719" s="6" t="s">
        <v>87</v>
      </c>
      <c r="C719" s="6" t="s">
        <v>46</v>
      </c>
      <c r="D719" s="3">
        <f>2+2+2</f>
        <v>6</v>
      </c>
      <c r="E719" s="33">
        <f>2358.85+2349.41+4101.38</f>
        <v>8809.64</v>
      </c>
    </row>
    <row r="720" spans="1:5" ht="12.75">
      <c r="A720" s="4" t="s">
        <v>129</v>
      </c>
      <c r="B720" s="6" t="s">
        <v>88</v>
      </c>
      <c r="C720" s="6" t="s">
        <v>46</v>
      </c>
      <c r="D720" s="3">
        <f>2+2+2</f>
        <v>6</v>
      </c>
      <c r="E720" s="33">
        <f>2349.21+1580.71+10335.48</f>
        <v>14265.4</v>
      </c>
    </row>
    <row r="721" spans="1:5" ht="12.75">
      <c r="A721" s="4" t="s">
        <v>129</v>
      </c>
      <c r="B721" s="6" t="s">
        <v>89</v>
      </c>
      <c r="C721" s="6" t="s">
        <v>46</v>
      </c>
      <c r="D721" s="3">
        <f>2+2</f>
        <v>4</v>
      </c>
      <c r="E721" s="33">
        <f>2000+1250</f>
        <v>3250</v>
      </c>
    </row>
    <row r="722" spans="1:5" ht="12.75">
      <c r="A722" s="4" t="s">
        <v>129</v>
      </c>
      <c r="B722" s="6" t="s">
        <v>136</v>
      </c>
      <c r="C722" s="6" t="s">
        <v>46</v>
      </c>
      <c r="D722" s="3">
        <f>2+2</f>
        <v>4</v>
      </c>
      <c r="E722" s="33">
        <f>2658.91+1250</f>
        <v>3908.91</v>
      </c>
    </row>
    <row r="723" spans="1:5" ht="12.75">
      <c r="A723" s="4" t="s">
        <v>129</v>
      </c>
      <c r="B723" s="6" t="s">
        <v>135</v>
      </c>
      <c r="C723" s="6" t="s">
        <v>46</v>
      </c>
      <c r="D723" s="3">
        <f>2+2</f>
        <v>4</v>
      </c>
      <c r="E723" s="33">
        <f>1580.71+8643.5</f>
        <v>10224.21</v>
      </c>
    </row>
    <row r="724" spans="1:5" ht="12.75">
      <c r="A724" s="4" t="s">
        <v>129</v>
      </c>
      <c r="B724" s="6" t="s">
        <v>91</v>
      </c>
      <c r="C724" s="6" t="s">
        <v>46</v>
      </c>
      <c r="D724" s="3">
        <f>2+2</f>
        <v>4</v>
      </c>
      <c r="E724" s="33">
        <f>1580.71+8643.5</f>
        <v>10224.21</v>
      </c>
    </row>
    <row r="725" spans="1:5" ht="12.75">
      <c r="A725" s="4" t="s">
        <v>97</v>
      </c>
      <c r="B725" s="6" t="s">
        <v>86</v>
      </c>
      <c r="C725" s="6" t="s">
        <v>46</v>
      </c>
      <c r="D725" s="3">
        <f>2+2</f>
        <v>4</v>
      </c>
      <c r="E725" s="33">
        <f>1580.71+2943.53</f>
        <v>4524.24</v>
      </c>
    </row>
    <row r="726" spans="1:5" ht="12.75" hidden="1">
      <c r="A726" s="15"/>
      <c r="B726" s="6"/>
      <c r="C726" s="6"/>
      <c r="D726" s="6"/>
      <c r="E726" s="28"/>
    </row>
    <row r="727" spans="1:5" ht="12.75" hidden="1">
      <c r="A727" s="15"/>
      <c r="B727" s="6"/>
      <c r="C727" s="6"/>
      <c r="D727" s="6"/>
      <c r="E727" s="28"/>
    </row>
    <row r="728" spans="1:5" ht="12.75" hidden="1">
      <c r="A728" s="15"/>
      <c r="B728" s="6"/>
      <c r="C728" s="6"/>
      <c r="D728" s="6"/>
      <c r="E728" s="28"/>
    </row>
    <row r="729" spans="1:5" ht="12.75" hidden="1">
      <c r="A729" s="15"/>
      <c r="B729" s="6"/>
      <c r="C729" s="6"/>
      <c r="D729" s="6"/>
      <c r="E729" s="28"/>
    </row>
    <row r="730" spans="1:5" ht="12.75" hidden="1">
      <c r="A730" s="15"/>
      <c r="B730" s="6"/>
      <c r="C730" s="6"/>
      <c r="D730" s="6"/>
      <c r="E730" s="28"/>
    </row>
    <row r="731" spans="1:5" ht="12.75" hidden="1">
      <c r="A731" s="15"/>
      <c r="B731" s="6"/>
      <c r="C731" s="6"/>
      <c r="D731" s="6"/>
      <c r="E731" s="28"/>
    </row>
    <row r="732" spans="1:5" ht="12.75">
      <c r="A732" s="15" t="s">
        <v>145</v>
      </c>
      <c r="B732" s="6"/>
      <c r="C732" s="6"/>
      <c r="D732" s="6"/>
      <c r="E732" s="28">
        <f>SUM(E695:E731)</f>
        <v>186719.25999999995</v>
      </c>
    </row>
    <row r="733" spans="1:5" ht="12.75" hidden="1">
      <c r="A733" s="23"/>
      <c r="B733" s="8"/>
      <c r="C733" s="8"/>
      <c r="D733" s="8"/>
      <c r="E733" s="31"/>
    </row>
    <row r="734" spans="1:5" ht="12.75">
      <c r="A734" s="45" t="s">
        <v>158</v>
      </c>
      <c r="B734" s="46"/>
      <c r="C734" s="46"/>
      <c r="D734" s="46"/>
      <c r="E734" s="47"/>
    </row>
    <row r="735" spans="1:5" ht="12.75">
      <c r="A735" s="4" t="s">
        <v>40</v>
      </c>
      <c r="B735" s="6" t="s">
        <v>68</v>
      </c>
      <c r="C735" s="6" t="s">
        <v>46</v>
      </c>
      <c r="D735" s="3"/>
      <c r="E735" s="33"/>
    </row>
    <row r="736" spans="1:5" ht="12.75">
      <c r="A736" s="4" t="s">
        <v>100</v>
      </c>
      <c r="B736" s="6" t="s">
        <v>93</v>
      </c>
      <c r="C736" s="6" t="s">
        <v>46</v>
      </c>
      <c r="D736" s="3">
        <v>1</v>
      </c>
      <c r="E736" s="33">
        <v>2115.14</v>
      </c>
    </row>
    <row r="737" spans="1:5" ht="12.75">
      <c r="A737" s="4" t="s">
        <v>100</v>
      </c>
      <c r="B737" s="6" t="s">
        <v>95</v>
      </c>
      <c r="C737" s="6" t="s">
        <v>46</v>
      </c>
      <c r="D737" s="3">
        <v>1</v>
      </c>
      <c r="E737" s="33">
        <v>22157.89</v>
      </c>
    </row>
    <row r="738" spans="1:5" ht="12.75">
      <c r="A738" s="4" t="s">
        <v>100</v>
      </c>
      <c r="B738" s="6" t="s">
        <v>103</v>
      </c>
      <c r="C738" s="6" t="s">
        <v>46</v>
      </c>
      <c r="D738" s="3">
        <v>1</v>
      </c>
      <c r="E738" s="33">
        <v>2115.14</v>
      </c>
    </row>
    <row r="739" spans="1:5" ht="12.75">
      <c r="A739" s="4" t="s">
        <v>100</v>
      </c>
      <c r="B739" s="6" t="s">
        <v>96</v>
      </c>
      <c r="C739" s="6" t="s">
        <v>46</v>
      </c>
      <c r="D739" s="3">
        <v>1</v>
      </c>
      <c r="E739" s="33">
        <v>2560.34</v>
      </c>
    </row>
    <row r="740" spans="1:5" ht="12.75">
      <c r="A740" s="4" t="s">
        <v>100</v>
      </c>
      <c r="B740" s="6" t="s">
        <v>106</v>
      </c>
      <c r="C740" s="6" t="s">
        <v>46</v>
      </c>
      <c r="D740" s="3">
        <v>1</v>
      </c>
      <c r="E740" s="33">
        <v>2462.32</v>
      </c>
    </row>
    <row r="741" spans="1:5" ht="12.75">
      <c r="A741" s="4" t="s">
        <v>100</v>
      </c>
      <c r="B741" s="6" t="s">
        <v>107</v>
      </c>
      <c r="C741" s="6" t="s">
        <v>46</v>
      </c>
      <c r="D741" s="3">
        <f>1</f>
        <v>1</v>
      </c>
      <c r="E741" s="33">
        <v>7816.84</v>
      </c>
    </row>
    <row r="742" spans="1:5" ht="12.75">
      <c r="A742" s="4" t="s">
        <v>100</v>
      </c>
      <c r="B742" s="6" t="s">
        <v>108</v>
      </c>
      <c r="C742" s="6" t="s">
        <v>46</v>
      </c>
      <c r="D742" s="3">
        <f>1</f>
        <v>1</v>
      </c>
      <c r="E742" s="33">
        <f>14991.3</f>
        <v>14991.3</v>
      </c>
    </row>
    <row r="743" spans="1:5" ht="12.75">
      <c r="A743" s="4" t="s">
        <v>100</v>
      </c>
      <c r="B743" s="6" t="s">
        <v>110</v>
      </c>
      <c r="C743" s="6" t="s">
        <v>46</v>
      </c>
      <c r="D743" s="3"/>
      <c r="E743" s="33"/>
    </row>
    <row r="744" spans="1:5" ht="12.75">
      <c r="A744" s="4" t="s">
        <v>100</v>
      </c>
      <c r="B744" s="6" t="s">
        <v>112</v>
      </c>
      <c r="C744" s="6" t="s">
        <v>46</v>
      </c>
      <c r="D744" s="3"/>
      <c r="E744" s="33"/>
    </row>
    <row r="745" spans="1:5" ht="12.75">
      <c r="A745" s="4" t="s">
        <v>100</v>
      </c>
      <c r="B745" s="6" t="s">
        <v>116</v>
      </c>
      <c r="C745" s="6" t="s">
        <v>46</v>
      </c>
      <c r="D745" s="3"/>
      <c r="E745" s="33"/>
    </row>
    <row r="746" spans="1:5" ht="12.75">
      <c r="A746" s="15" t="s">
        <v>145</v>
      </c>
      <c r="B746" s="6"/>
      <c r="C746" s="6"/>
      <c r="D746" s="3"/>
      <c r="E746" s="34">
        <f>SUM(E735:E745)</f>
        <v>54218.97</v>
      </c>
    </row>
    <row r="747" spans="1:5" ht="12.75">
      <c r="A747" s="45" t="s">
        <v>190</v>
      </c>
      <c r="B747" s="46"/>
      <c r="C747" s="46"/>
      <c r="D747" s="46"/>
      <c r="E747" s="47"/>
    </row>
    <row r="748" spans="1:5" ht="12.75">
      <c r="A748" s="4" t="s">
        <v>129</v>
      </c>
      <c r="B748" s="6" t="s">
        <v>89</v>
      </c>
      <c r="C748" s="6" t="s">
        <v>46</v>
      </c>
      <c r="D748" s="3">
        <v>1</v>
      </c>
      <c r="E748" s="33">
        <f>76640</f>
        <v>76640</v>
      </c>
    </row>
    <row r="749" spans="1:5" ht="12.75">
      <c r="A749" s="4" t="s">
        <v>92</v>
      </c>
      <c r="B749" s="6" t="s">
        <v>96</v>
      </c>
      <c r="C749" s="6" t="s">
        <v>46</v>
      </c>
      <c r="D749" s="3">
        <v>1</v>
      </c>
      <c r="E749" s="33">
        <v>34581</v>
      </c>
    </row>
    <row r="750" spans="1:5" ht="12.75">
      <c r="A750" s="4" t="s">
        <v>97</v>
      </c>
      <c r="B750" s="6" t="s">
        <v>98</v>
      </c>
      <c r="C750" s="6" t="s">
        <v>46</v>
      </c>
      <c r="D750" s="3">
        <v>1</v>
      </c>
      <c r="E750" s="33">
        <v>34581</v>
      </c>
    </row>
    <row r="751" spans="1:5" ht="12.75">
      <c r="A751" s="4" t="s">
        <v>138</v>
      </c>
      <c r="B751" s="6" t="s">
        <v>108</v>
      </c>
      <c r="C751" s="6" t="s">
        <v>46</v>
      </c>
      <c r="D751" s="3">
        <v>1</v>
      </c>
      <c r="E751" s="33">
        <v>34581</v>
      </c>
    </row>
    <row r="752" spans="1:5" ht="12.75">
      <c r="A752" s="15" t="s">
        <v>145</v>
      </c>
      <c r="B752" s="6"/>
      <c r="C752" s="6"/>
      <c r="D752" s="3"/>
      <c r="E752" s="34">
        <f>SUM(E748:E751)</f>
        <v>180383</v>
      </c>
    </row>
    <row r="753" spans="1:5" ht="12.75" hidden="1">
      <c r="A753" s="45" t="s">
        <v>34</v>
      </c>
      <c r="B753" s="46"/>
      <c r="C753" s="46"/>
      <c r="D753" s="46"/>
      <c r="E753" s="47"/>
    </row>
    <row r="754" spans="1:5" ht="12.75" hidden="1">
      <c r="A754" s="4" t="s">
        <v>40</v>
      </c>
      <c r="B754" s="6" t="s">
        <v>52</v>
      </c>
      <c r="C754" s="6" t="s">
        <v>46</v>
      </c>
      <c r="D754" s="3">
        <v>1</v>
      </c>
      <c r="E754" s="33"/>
    </row>
    <row r="755" spans="1:5" ht="12.75" hidden="1">
      <c r="A755" s="4" t="s">
        <v>40</v>
      </c>
      <c r="B755" s="6" t="s">
        <v>54</v>
      </c>
      <c r="C755" s="6" t="s">
        <v>46</v>
      </c>
      <c r="D755" s="3">
        <v>1</v>
      </c>
      <c r="E755" s="33"/>
    </row>
    <row r="756" spans="1:5" ht="12.75" hidden="1">
      <c r="A756" s="4" t="s">
        <v>40</v>
      </c>
      <c r="B756" s="6" t="s">
        <v>55</v>
      </c>
      <c r="C756" s="6" t="s">
        <v>46</v>
      </c>
      <c r="D756" s="3">
        <v>1</v>
      </c>
      <c r="E756" s="33"/>
    </row>
    <row r="757" spans="1:5" ht="12.75" hidden="1">
      <c r="A757" s="4" t="s">
        <v>40</v>
      </c>
      <c r="B757" s="6" t="s">
        <v>59</v>
      </c>
      <c r="C757" s="6" t="s">
        <v>46</v>
      </c>
      <c r="D757" s="3">
        <v>1</v>
      </c>
      <c r="E757" s="33"/>
    </row>
    <row r="758" spans="1:5" ht="12.75" hidden="1">
      <c r="A758" s="4" t="s">
        <v>40</v>
      </c>
      <c r="B758" s="6" t="s">
        <v>62</v>
      </c>
      <c r="C758" s="6" t="s">
        <v>46</v>
      </c>
      <c r="D758" s="3">
        <v>1</v>
      </c>
      <c r="E758" s="33"/>
    </row>
    <row r="759" spans="1:5" ht="12.75" hidden="1">
      <c r="A759" s="4" t="s">
        <v>40</v>
      </c>
      <c r="B759" s="6" t="s">
        <v>68</v>
      </c>
      <c r="C759" s="6" t="s">
        <v>46</v>
      </c>
      <c r="D759" s="3">
        <v>1</v>
      </c>
      <c r="E759" s="33"/>
    </row>
    <row r="760" spans="1:5" ht="12.75" hidden="1">
      <c r="A760" s="4" t="s">
        <v>40</v>
      </c>
      <c r="B760" s="6" t="s">
        <v>71</v>
      </c>
      <c r="C760" s="6" t="s">
        <v>46</v>
      </c>
      <c r="D760" s="3">
        <v>1</v>
      </c>
      <c r="E760" s="33"/>
    </row>
    <row r="761" spans="1:5" ht="12.75" hidden="1">
      <c r="A761" s="4" t="s">
        <v>40</v>
      </c>
      <c r="B761" s="6" t="s">
        <v>72</v>
      </c>
      <c r="C761" s="6" t="s">
        <v>46</v>
      </c>
      <c r="D761" s="3">
        <v>1</v>
      </c>
      <c r="E761" s="33"/>
    </row>
    <row r="762" spans="1:5" ht="12.75" hidden="1">
      <c r="A762" s="4" t="s">
        <v>40</v>
      </c>
      <c r="B762" s="6" t="s">
        <v>74</v>
      </c>
      <c r="C762" s="6" t="s">
        <v>46</v>
      </c>
      <c r="D762" s="3">
        <v>1</v>
      </c>
      <c r="E762" s="33"/>
    </row>
    <row r="763" spans="1:5" ht="12.75" hidden="1">
      <c r="A763" s="4" t="s">
        <v>40</v>
      </c>
      <c r="B763" s="6" t="s">
        <v>78</v>
      </c>
      <c r="C763" s="6" t="s">
        <v>46</v>
      </c>
      <c r="D763" s="3">
        <v>1</v>
      </c>
      <c r="E763" s="33"/>
    </row>
    <row r="764" spans="1:5" ht="12.75" hidden="1">
      <c r="A764" s="4" t="s">
        <v>40</v>
      </c>
      <c r="B764" s="6" t="s">
        <v>81</v>
      </c>
      <c r="C764" s="6" t="s">
        <v>46</v>
      </c>
      <c r="D764" s="3">
        <v>1</v>
      </c>
      <c r="E764" s="33"/>
    </row>
    <row r="765" spans="1:5" ht="12.75" hidden="1">
      <c r="A765" s="4" t="s">
        <v>40</v>
      </c>
      <c r="B765" s="6" t="s">
        <v>80</v>
      </c>
      <c r="C765" s="6" t="s">
        <v>46</v>
      </c>
      <c r="D765" s="3">
        <v>1</v>
      </c>
      <c r="E765" s="33"/>
    </row>
    <row r="766" spans="1:5" ht="12.75" hidden="1">
      <c r="A766" s="4" t="s">
        <v>100</v>
      </c>
      <c r="B766" s="6" t="s">
        <v>93</v>
      </c>
      <c r="C766" s="6" t="s">
        <v>46</v>
      </c>
      <c r="D766" s="3"/>
      <c r="E766" s="33"/>
    </row>
    <row r="767" spans="1:5" ht="12.75" hidden="1">
      <c r="A767" s="4" t="s">
        <v>100</v>
      </c>
      <c r="B767" s="6" t="s">
        <v>95</v>
      </c>
      <c r="C767" s="6" t="s">
        <v>46</v>
      </c>
      <c r="D767" s="3"/>
      <c r="E767" s="33"/>
    </row>
    <row r="768" spans="1:5" ht="12.75" hidden="1">
      <c r="A768" s="4" t="s">
        <v>100</v>
      </c>
      <c r="B768" s="6" t="s">
        <v>103</v>
      </c>
      <c r="C768" s="6" t="s">
        <v>46</v>
      </c>
      <c r="D768" s="3"/>
      <c r="E768" s="33"/>
    </row>
    <row r="769" spans="1:5" ht="12.75" hidden="1">
      <c r="A769" s="4" t="s">
        <v>100</v>
      </c>
      <c r="B769" s="6" t="s">
        <v>96</v>
      </c>
      <c r="C769" s="6" t="s">
        <v>46</v>
      </c>
      <c r="D769" s="3"/>
      <c r="E769" s="33"/>
    </row>
    <row r="770" spans="1:5" ht="12.75" hidden="1">
      <c r="A770" s="4" t="s">
        <v>100</v>
      </c>
      <c r="B770" s="6" t="s">
        <v>106</v>
      </c>
      <c r="C770" s="6" t="s">
        <v>46</v>
      </c>
      <c r="D770" s="3"/>
      <c r="E770" s="33"/>
    </row>
    <row r="771" spans="1:5" ht="12.75" hidden="1">
      <c r="A771" s="4" t="s">
        <v>100</v>
      </c>
      <c r="B771" s="6" t="s">
        <v>107</v>
      </c>
      <c r="C771" s="6" t="s">
        <v>46</v>
      </c>
      <c r="D771" s="3">
        <f>1</f>
        <v>1</v>
      </c>
      <c r="E771" s="33"/>
    </row>
    <row r="772" spans="1:5" ht="12.75" hidden="1">
      <c r="A772" s="4" t="s">
        <v>100</v>
      </c>
      <c r="B772" s="6" t="s">
        <v>108</v>
      </c>
      <c r="C772" s="6" t="s">
        <v>46</v>
      </c>
      <c r="D772" s="3">
        <v>1</v>
      </c>
      <c r="E772" s="33"/>
    </row>
    <row r="773" spans="1:5" ht="12.75" hidden="1">
      <c r="A773" s="4" t="s">
        <v>100</v>
      </c>
      <c r="B773" s="6" t="s">
        <v>110</v>
      </c>
      <c r="C773" s="6" t="s">
        <v>46</v>
      </c>
      <c r="D773" s="3"/>
      <c r="E773" s="33"/>
    </row>
    <row r="774" spans="1:5" ht="12.75" hidden="1">
      <c r="A774" s="4" t="s">
        <v>100</v>
      </c>
      <c r="B774" s="6" t="s">
        <v>112</v>
      </c>
      <c r="C774" s="6" t="s">
        <v>46</v>
      </c>
      <c r="D774" s="3">
        <v>1</v>
      </c>
      <c r="E774" s="33"/>
    </row>
    <row r="775" spans="1:5" ht="12.75" hidden="1">
      <c r="A775" s="4" t="s">
        <v>100</v>
      </c>
      <c r="B775" s="6" t="s">
        <v>116</v>
      </c>
      <c r="C775" s="6" t="s">
        <v>46</v>
      </c>
      <c r="D775" s="3"/>
      <c r="E775" s="33"/>
    </row>
    <row r="776" spans="1:5" ht="12.75" hidden="1">
      <c r="A776" s="4" t="s">
        <v>100</v>
      </c>
      <c r="B776" s="6" t="s">
        <v>117</v>
      </c>
      <c r="C776" s="6" t="s">
        <v>46</v>
      </c>
      <c r="D776" s="3">
        <v>1</v>
      </c>
      <c r="E776" s="33"/>
    </row>
    <row r="777" spans="1:5" ht="12.75" hidden="1">
      <c r="A777" s="4" t="s">
        <v>100</v>
      </c>
      <c r="B777" s="6" t="s">
        <v>118</v>
      </c>
      <c r="C777" s="6" t="s">
        <v>46</v>
      </c>
      <c r="D777" s="3">
        <v>1</v>
      </c>
      <c r="E777" s="33"/>
    </row>
    <row r="778" spans="1:5" ht="12.75" hidden="1">
      <c r="A778" s="4" t="s">
        <v>100</v>
      </c>
      <c r="B778" s="6" t="s">
        <v>120</v>
      </c>
      <c r="C778" s="6" t="s">
        <v>46</v>
      </c>
      <c r="D778" s="3">
        <v>2</v>
      </c>
      <c r="E778" s="33"/>
    </row>
    <row r="779" spans="1:5" ht="12.75" hidden="1">
      <c r="A779" s="4" t="s">
        <v>100</v>
      </c>
      <c r="B779" s="6" t="s">
        <v>123</v>
      </c>
      <c r="C779" s="6" t="s">
        <v>46</v>
      </c>
      <c r="D779" s="3">
        <v>1</v>
      </c>
      <c r="E779" s="33"/>
    </row>
    <row r="780" spans="1:5" ht="12.75" hidden="1">
      <c r="A780" s="4" t="s">
        <v>161</v>
      </c>
      <c r="B780" s="6" t="s">
        <v>93</v>
      </c>
      <c r="C780" s="6" t="s">
        <v>46</v>
      </c>
      <c r="D780" s="3">
        <v>1</v>
      </c>
      <c r="E780" s="33"/>
    </row>
    <row r="781" spans="1:5" ht="12.75" hidden="1">
      <c r="A781" s="4" t="s">
        <v>161</v>
      </c>
      <c r="B781" s="6" t="s">
        <v>94</v>
      </c>
      <c r="C781" s="6" t="s">
        <v>46</v>
      </c>
      <c r="D781" s="3">
        <v>1</v>
      </c>
      <c r="E781" s="33"/>
    </row>
    <row r="782" spans="1:5" ht="12.75" hidden="1">
      <c r="A782" s="4" t="s">
        <v>161</v>
      </c>
      <c r="B782" s="6" t="s">
        <v>96</v>
      </c>
      <c r="C782" s="6" t="s">
        <v>46</v>
      </c>
      <c r="D782" s="3">
        <v>1</v>
      </c>
      <c r="E782" s="33"/>
    </row>
    <row r="783" spans="1:5" ht="12" customHeight="1" hidden="1">
      <c r="A783" s="4" t="s">
        <v>163</v>
      </c>
      <c r="B783" s="6" t="s">
        <v>84</v>
      </c>
      <c r="C783" s="6" t="s">
        <v>46</v>
      </c>
      <c r="D783" s="3">
        <v>1</v>
      </c>
      <c r="E783" s="33"/>
    </row>
    <row r="784" spans="1:5" ht="12" customHeight="1" hidden="1">
      <c r="A784" s="4" t="s">
        <v>163</v>
      </c>
      <c r="B784" s="6" t="s">
        <v>85</v>
      </c>
      <c r="C784" s="6" t="s">
        <v>46</v>
      </c>
      <c r="D784" s="3">
        <v>1</v>
      </c>
      <c r="E784" s="33"/>
    </row>
    <row r="785" spans="1:5" ht="12" customHeight="1" hidden="1">
      <c r="A785" s="4" t="s">
        <v>163</v>
      </c>
      <c r="B785" s="6" t="s">
        <v>87</v>
      </c>
      <c r="C785" s="6" t="s">
        <v>46</v>
      </c>
      <c r="D785" s="3">
        <v>2</v>
      </c>
      <c r="E785" s="33"/>
    </row>
    <row r="786" spans="1:5" ht="12" customHeight="1" hidden="1">
      <c r="A786" s="4" t="s">
        <v>163</v>
      </c>
      <c r="B786" s="6" t="s">
        <v>91</v>
      </c>
      <c r="C786" s="6" t="s">
        <v>46</v>
      </c>
      <c r="D786" s="3">
        <v>1</v>
      </c>
      <c r="E786" s="33"/>
    </row>
    <row r="787" spans="1:5" ht="12" customHeight="1" hidden="1">
      <c r="A787" s="4" t="s">
        <v>163</v>
      </c>
      <c r="B787" s="6" t="s">
        <v>41</v>
      </c>
      <c r="C787" s="6" t="s">
        <v>46</v>
      </c>
      <c r="D787" s="3">
        <v>1</v>
      </c>
      <c r="E787" s="33"/>
    </row>
    <row r="788" spans="1:5" ht="12" customHeight="1" hidden="1">
      <c r="A788" s="4" t="s">
        <v>163</v>
      </c>
      <c r="B788" s="6" t="s">
        <v>52</v>
      </c>
      <c r="C788" s="6" t="s">
        <v>46</v>
      </c>
      <c r="D788" s="3">
        <v>1</v>
      </c>
      <c r="E788" s="33"/>
    </row>
    <row r="789" spans="1:5" ht="12" customHeight="1" hidden="1">
      <c r="A789" s="4" t="s">
        <v>163</v>
      </c>
      <c r="B789" s="6" t="s">
        <v>54</v>
      </c>
      <c r="C789" s="6" t="s">
        <v>46</v>
      </c>
      <c r="D789" s="3">
        <v>1</v>
      </c>
      <c r="E789" s="33"/>
    </row>
    <row r="790" spans="1:5" ht="12.75" hidden="1">
      <c r="A790" s="4" t="s">
        <v>129</v>
      </c>
      <c r="B790" s="6" t="s">
        <v>130</v>
      </c>
      <c r="C790" s="6" t="s">
        <v>46</v>
      </c>
      <c r="D790" s="3">
        <v>1</v>
      </c>
      <c r="E790" s="33"/>
    </row>
    <row r="791" spans="1:5" ht="12.75" hidden="1">
      <c r="A791" s="4" t="s">
        <v>129</v>
      </c>
      <c r="B791" s="6" t="s">
        <v>84</v>
      </c>
      <c r="C791" s="6" t="s">
        <v>46</v>
      </c>
      <c r="D791" s="3">
        <v>1</v>
      </c>
      <c r="E791" s="33"/>
    </row>
    <row r="792" spans="1:5" ht="12.75" hidden="1">
      <c r="A792" s="4" t="s">
        <v>129</v>
      </c>
      <c r="B792" s="6" t="s">
        <v>131</v>
      </c>
      <c r="C792" s="6" t="s">
        <v>46</v>
      </c>
      <c r="D792" s="3">
        <v>1</v>
      </c>
      <c r="E792" s="33"/>
    </row>
    <row r="793" spans="1:5" ht="12.75" hidden="1">
      <c r="A793" s="4" t="s">
        <v>129</v>
      </c>
      <c r="B793" s="6" t="s">
        <v>132</v>
      </c>
      <c r="C793" s="6" t="s">
        <v>46</v>
      </c>
      <c r="D793" s="3">
        <v>1</v>
      </c>
      <c r="E793" s="33"/>
    </row>
    <row r="794" spans="1:5" ht="12.75" hidden="1">
      <c r="A794" s="4" t="s">
        <v>129</v>
      </c>
      <c r="B794" s="6" t="s">
        <v>89</v>
      </c>
      <c r="C794" s="6" t="s">
        <v>46</v>
      </c>
      <c r="D794" s="3">
        <v>1</v>
      </c>
      <c r="E794" s="33"/>
    </row>
    <row r="795" spans="1:5" ht="12.75" hidden="1">
      <c r="A795" s="4" t="s">
        <v>129</v>
      </c>
      <c r="B795" s="6" t="s">
        <v>136</v>
      </c>
      <c r="C795" s="6" t="s">
        <v>46</v>
      </c>
      <c r="D795" s="3">
        <v>1</v>
      </c>
      <c r="E795" s="33"/>
    </row>
    <row r="796" spans="1:5" ht="12.75" hidden="1">
      <c r="A796" s="4" t="s">
        <v>129</v>
      </c>
      <c r="B796" s="6" t="s">
        <v>135</v>
      </c>
      <c r="C796" s="6" t="s">
        <v>46</v>
      </c>
      <c r="D796" s="3">
        <v>1</v>
      </c>
      <c r="E796" s="33"/>
    </row>
    <row r="797" spans="1:5" ht="12.75" hidden="1">
      <c r="A797" s="4" t="s">
        <v>97</v>
      </c>
      <c r="B797" s="6" t="s">
        <v>86</v>
      </c>
      <c r="C797" s="6" t="s">
        <v>46</v>
      </c>
      <c r="D797" s="3">
        <f>1+1</f>
        <v>2</v>
      </c>
      <c r="E797" s="33"/>
    </row>
    <row r="798" spans="1:5" ht="12.75" hidden="1">
      <c r="A798" s="4" t="s">
        <v>97</v>
      </c>
      <c r="B798" s="6" t="s">
        <v>98</v>
      </c>
      <c r="C798" s="6" t="s">
        <v>46</v>
      </c>
      <c r="D798" s="3">
        <v>1</v>
      </c>
      <c r="E798" s="33"/>
    </row>
    <row r="799" spans="1:5" ht="12.75" hidden="1">
      <c r="A799" s="4" t="s">
        <v>138</v>
      </c>
      <c r="B799" s="6" t="s">
        <v>108</v>
      </c>
      <c r="C799" s="6" t="s">
        <v>46</v>
      </c>
      <c r="D799" s="3">
        <v>1</v>
      </c>
      <c r="E799" s="33"/>
    </row>
    <row r="800" spans="1:5" ht="12.75" hidden="1">
      <c r="A800" s="15" t="s">
        <v>145</v>
      </c>
      <c r="B800" s="6"/>
      <c r="C800" s="6"/>
      <c r="D800" s="3"/>
      <c r="E800" s="34">
        <f>SUM(E754:E799)</f>
        <v>0</v>
      </c>
    </row>
    <row r="801" spans="1:5" ht="12.75">
      <c r="A801" s="45" t="s">
        <v>36</v>
      </c>
      <c r="B801" s="46"/>
      <c r="C801" s="46"/>
      <c r="D801" s="46"/>
      <c r="E801" s="47"/>
    </row>
    <row r="802" spans="1:5" ht="12.75">
      <c r="A802" s="4" t="s">
        <v>40</v>
      </c>
      <c r="B802" s="6" t="s">
        <v>41</v>
      </c>
      <c r="C802" s="3" t="s">
        <v>47</v>
      </c>
      <c r="D802" s="3">
        <v>29.33</v>
      </c>
      <c r="E802" s="33">
        <v>32722.45</v>
      </c>
    </row>
    <row r="803" spans="1:5" ht="12.75">
      <c r="A803" s="4" t="s">
        <v>40</v>
      </c>
      <c r="B803" s="6" t="s">
        <v>52</v>
      </c>
      <c r="C803" s="3" t="s">
        <v>47</v>
      </c>
      <c r="D803" s="3">
        <v>4.169</v>
      </c>
      <c r="E803" s="33">
        <v>9349.98</v>
      </c>
    </row>
    <row r="804" spans="1:5" ht="12.75">
      <c r="A804" s="4" t="s">
        <v>40</v>
      </c>
      <c r="B804" s="6" t="s">
        <v>54</v>
      </c>
      <c r="C804" s="3" t="s">
        <v>47</v>
      </c>
      <c r="D804" s="3">
        <v>2.948</v>
      </c>
      <c r="E804" s="33">
        <v>8915.96</v>
      </c>
    </row>
    <row r="805" spans="1:5" ht="12.75">
      <c r="A805" s="4" t="s">
        <v>40</v>
      </c>
      <c r="B805" s="6" t="s">
        <v>55</v>
      </c>
      <c r="C805" s="3" t="s">
        <v>47</v>
      </c>
      <c r="D805" s="3">
        <v>2.948</v>
      </c>
      <c r="E805" s="33">
        <v>8915.96</v>
      </c>
    </row>
    <row r="806" spans="1:5" ht="12.75">
      <c r="A806" s="4" t="s">
        <v>40</v>
      </c>
      <c r="B806" s="6" t="s">
        <v>56</v>
      </c>
      <c r="C806" s="3" t="s">
        <v>47</v>
      </c>
      <c r="D806" s="3">
        <v>2.948</v>
      </c>
      <c r="E806" s="33">
        <v>8915.96</v>
      </c>
    </row>
    <row r="807" spans="1:5" ht="12.75">
      <c r="A807" s="4" t="s">
        <v>40</v>
      </c>
      <c r="B807" s="6" t="s">
        <v>57</v>
      </c>
      <c r="C807" s="3" t="s">
        <v>47</v>
      </c>
      <c r="D807" s="3">
        <v>4.406</v>
      </c>
      <c r="E807" s="33">
        <v>11401.31</v>
      </c>
    </row>
    <row r="808" spans="1:5" ht="12.75">
      <c r="A808" s="4" t="s">
        <v>40</v>
      </c>
      <c r="B808" s="6" t="s">
        <v>59</v>
      </c>
      <c r="C808" s="3" t="s">
        <v>47</v>
      </c>
      <c r="D808" s="3">
        <v>11.78</v>
      </c>
      <c r="E808" s="33">
        <v>10503.5</v>
      </c>
    </row>
    <row r="809" spans="1:5" ht="12.75">
      <c r="A809" s="4" t="s">
        <v>40</v>
      </c>
      <c r="B809" s="6" t="s">
        <v>61</v>
      </c>
      <c r="C809" s="3" t="s">
        <v>47</v>
      </c>
      <c r="D809" s="3">
        <v>29.33</v>
      </c>
      <c r="E809" s="33">
        <v>32086.17</v>
      </c>
    </row>
    <row r="810" spans="1:5" ht="12.75">
      <c r="A810" s="4" t="s">
        <v>40</v>
      </c>
      <c r="B810" s="6" t="s">
        <v>62</v>
      </c>
      <c r="C810" s="3" t="s">
        <v>47</v>
      </c>
      <c r="D810" s="3">
        <f>5.89+11.78</f>
        <v>17.669999999999998</v>
      </c>
      <c r="E810" s="33">
        <f>2093.17+10503.5</f>
        <v>12596.67</v>
      </c>
    </row>
    <row r="811" spans="1:5" ht="12.75">
      <c r="A811" s="4" t="s">
        <v>40</v>
      </c>
      <c r="B811" s="6" t="s">
        <v>66</v>
      </c>
      <c r="C811" s="3" t="s">
        <v>47</v>
      </c>
      <c r="D811" s="3">
        <v>4.047</v>
      </c>
      <c r="E811" s="33">
        <v>9306.54</v>
      </c>
    </row>
    <row r="812" spans="1:5" ht="12.75">
      <c r="A812" s="4" t="s">
        <v>40</v>
      </c>
      <c r="B812" s="6" t="s">
        <v>68</v>
      </c>
      <c r="C812" s="3" t="s">
        <v>47</v>
      </c>
      <c r="D812" s="3">
        <v>11.78</v>
      </c>
      <c r="E812" s="33">
        <v>10503.5</v>
      </c>
    </row>
    <row r="813" spans="1:5" ht="12.75">
      <c r="A813" s="4" t="s">
        <v>40</v>
      </c>
      <c r="B813" s="6" t="s">
        <v>70</v>
      </c>
      <c r="C813" s="3" t="s">
        <v>47</v>
      </c>
      <c r="D813" s="3">
        <v>1.769</v>
      </c>
      <c r="E813" s="33">
        <v>6530.05</v>
      </c>
    </row>
    <row r="814" spans="1:5" ht="12.75">
      <c r="A814" s="4" t="s">
        <v>40</v>
      </c>
      <c r="B814" s="6" t="s">
        <v>71</v>
      </c>
      <c r="C814" s="3" t="s">
        <v>47</v>
      </c>
      <c r="D814" s="3">
        <v>1.769</v>
      </c>
      <c r="E814" s="33">
        <v>6530.05</v>
      </c>
    </row>
    <row r="815" spans="1:5" ht="12.75">
      <c r="A815" s="4" t="s">
        <v>40</v>
      </c>
      <c r="B815" s="6" t="s">
        <v>72</v>
      </c>
      <c r="C815" s="3" t="s">
        <v>47</v>
      </c>
      <c r="D815" s="3">
        <v>3.08</v>
      </c>
      <c r="E815" s="33">
        <v>8962.96</v>
      </c>
    </row>
    <row r="816" spans="1:5" ht="12.75">
      <c r="A816" s="4" t="s">
        <v>40</v>
      </c>
      <c r="B816" s="6" t="s">
        <v>73</v>
      </c>
      <c r="C816" s="3" t="s">
        <v>47</v>
      </c>
      <c r="D816" s="3">
        <v>1.763</v>
      </c>
      <c r="E816" s="33">
        <v>6527.8</v>
      </c>
    </row>
    <row r="817" spans="1:5" ht="12.75">
      <c r="A817" s="4" t="s">
        <v>40</v>
      </c>
      <c r="B817" s="6" t="s">
        <v>74</v>
      </c>
      <c r="C817" s="3" t="s">
        <v>47</v>
      </c>
      <c r="D817" s="3">
        <v>1.769</v>
      </c>
      <c r="E817" s="33">
        <v>6530.05</v>
      </c>
    </row>
    <row r="818" spans="1:5" ht="12.75">
      <c r="A818" s="4" t="s">
        <v>40</v>
      </c>
      <c r="B818" s="6" t="s">
        <v>75</v>
      </c>
      <c r="C818" s="3" t="s">
        <v>47</v>
      </c>
      <c r="D818" s="3">
        <v>4.047</v>
      </c>
      <c r="E818" s="33">
        <v>9306.54</v>
      </c>
    </row>
    <row r="819" spans="1:5" ht="12.75">
      <c r="A819" s="4" t="s">
        <v>40</v>
      </c>
      <c r="B819" s="6" t="s">
        <v>78</v>
      </c>
      <c r="C819" s="3" t="s">
        <v>47</v>
      </c>
      <c r="D819" s="3">
        <v>9.308</v>
      </c>
      <c r="E819" s="33">
        <v>9401.76</v>
      </c>
    </row>
    <row r="820" spans="1:5" ht="12.75">
      <c r="A820" s="4" t="s">
        <v>40</v>
      </c>
      <c r="B820" s="6" t="s">
        <v>79</v>
      </c>
      <c r="C820" s="3" t="s">
        <v>47</v>
      </c>
      <c r="D820" s="3">
        <v>9.308</v>
      </c>
      <c r="E820" s="33">
        <v>9401.76</v>
      </c>
    </row>
    <row r="821" spans="1:5" ht="12.75">
      <c r="A821" s="4" t="s">
        <v>40</v>
      </c>
      <c r="B821" s="6" t="s">
        <v>81</v>
      </c>
      <c r="C821" s="3" t="s">
        <v>47</v>
      </c>
      <c r="D821" s="3">
        <v>4.325</v>
      </c>
      <c r="E821" s="33">
        <v>6583.15</v>
      </c>
    </row>
    <row r="822" spans="1:5" ht="12.75">
      <c r="A822" s="4" t="s">
        <v>40</v>
      </c>
      <c r="B822" s="6" t="s">
        <v>80</v>
      </c>
      <c r="C822" s="3" t="s">
        <v>47</v>
      </c>
      <c r="D822" s="3">
        <v>11.78</v>
      </c>
      <c r="E822" s="33">
        <v>10503.5</v>
      </c>
    </row>
    <row r="823" spans="1:5" ht="12.75">
      <c r="A823" s="4" t="s">
        <v>83</v>
      </c>
      <c r="B823" s="6" t="s">
        <v>84</v>
      </c>
      <c r="C823" s="3" t="s">
        <v>47</v>
      </c>
      <c r="D823" s="3">
        <v>11.78</v>
      </c>
      <c r="E823" s="33">
        <v>20114.33</v>
      </c>
    </row>
    <row r="824" spans="1:5" ht="12.75">
      <c r="A824" s="4" t="s">
        <v>83</v>
      </c>
      <c r="B824" s="6" t="s">
        <v>85</v>
      </c>
      <c r="C824" s="3" t="s">
        <v>47</v>
      </c>
      <c r="D824" s="3">
        <v>4.047</v>
      </c>
      <c r="E824" s="33">
        <v>9485.18</v>
      </c>
    </row>
    <row r="825" spans="1:5" ht="12.75">
      <c r="A825" s="4" t="s">
        <v>83</v>
      </c>
      <c r="B825" s="6" t="s">
        <v>86</v>
      </c>
      <c r="C825" s="3" t="s">
        <v>47</v>
      </c>
      <c r="D825" s="3">
        <v>1.769</v>
      </c>
      <c r="E825" s="33">
        <v>6652.19</v>
      </c>
    </row>
    <row r="826" spans="1:5" ht="12.75">
      <c r="A826" s="4" t="s">
        <v>83</v>
      </c>
      <c r="B826" s="6" t="s">
        <v>87</v>
      </c>
      <c r="C826" s="3" t="s">
        <v>47</v>
      </c>
      <c r="D826" s="3">
        <v>6.46</v>
      </c>
      <c r="E826" s="33">
        <v>9364.11</v>
      </c>
    </row>
    <row r="827" spans="1:5" ht="12.75">
      <c r="A827" s="4" t="s">
        <v>83</v>
      </c>
      <c r="B827" s="6" t="s">
        <v>88</v>
      </c>
      <c r="C827" s="3" t="s">
        <v>47</v>
      </c>
      <c r="D827" s="3">
        <v>1.769</v>
      </c>
      <c r="E827" s="33">
        <v>6652.19</v>
      </c>
    </row>
    <row r="828" spans="1:5" ht="12.75">
      <c r="A828" s="4" t="s">
        <v>83</v>
      </c>
      <c r="B828" s="6" t="s">
        <v>89</v>
      </c>
      <c r="C828" s="3" t="s">
        <v>47</v>
      </c>
      <c r="D828" s="3">
        <v>3.08</v>
      </c>
      <c r="E828" s="33">
        <v>9132.53</v>
      </c>
    </row>
    <row r="829" spans="1:5" ht="12.75">
      <c r="A829" s="4" t="s">
        <v>83</v>
      </c>
      <c r="B829" s="6" t="s">
        <v>90</v>
      </c>
      <c r="C829" s="3" t="s">
        <v>47</v>
      </c>
      <c r="D829" s="3">
        <v>1.769</v>
      </c>
      <c r="E829" s="33">
        <v>6652.19</v>
      </c>
    </row>
    <row r="830" spans="1:5" ht="12.75">
      <c r="A830" s="4" t="s">
        <v>83</v>
      </c>
      <c r="B830" s="6" t="s">
        <v>91</v>
      </c>
      <c r="C830" s="3" t="s">
        <v>47</v>
      </c>
      <c r="D830" s="3">
        <v>1.769</v>
      </c>
      <c r="E830" s="33">
        <v>6652.19</v>
      </c>
    </row>
    <row r="831" spans="1:5" ht="12.75">
      <c r="A831" s="4" t="s">
        <v>83</v>
      </c>
      <c r="B831" s="6" t="s">
        <v>41</v>
      </c>
      <c r="C831" s="3" t="s">
        <v>47</v>
      </c>
      <c r="D831" s="3">
        <v>6.46</v>
      </c>
      <c r="E831" s="33">
        <v>14049.41</v>
      </c>
    </row>
    <row r="832" spans="1:5" ht="12.75">
      <c r="A832" s="4" t="s">
        <v>83</v>
      </c>
      <c r="B832" s="6" t="s">
        <v>54</v>
      </c>
      <c r="C832" s="3" t="s">
        <v>47</v>
      </c>
      <c r="D832" s="3">
        <v>22.45</v>
      </c>
      <c r="E832" s="33">
        <v>23805.62</v>
      </c>
    </row>
    <row r="833" spans="1:5" ht="12.75">
      <c r="A833" s="4" t="s">
        <v>92</v>
      </c>
      <c r="B833" s="6" t="s">
        <v>93</v>
      </c>
      <c r="C833" s="3" t="s">
        <v>47</v>
      </c>
      <c r="D833" s="3">
        <v>4.325</v>
      </c>
      <c r="E833" s="33">
        <v>6583.15</v>
      </c>
    </row>
    <row r="834" spans="1:5" ht="12.75">
      <c r="A834" s="4" t="s">
        <v>92</v>
      </c>
      <c r="B834" s="6" t="s">
        <v>94</v>
      </c>
      <c r="C834" s="3" t="s">
        <v>47</v>
      </c>
      <c r="D834" s="3">
        <v>11.73</v>
      </c>
      <c r="E834" s="33">
        <v>10285.02</v>
      </c>
    </row>
    <row r="835" spans="1:5" ht="12.75">
      <c r="A835" s="4" t="s">
        <v>92</v>
      </c>
      <c r="B835" s="6" t="s">
        <v>96</v>
      </c>
      <c r="C835" s="3" t="s">
        <v>47</v>
      </c>
      <c r="D835" s="3">
        <v>11.73</v>
      </c>
      <c r="E835" s="33">
        <v>10893.28</v>
      </c>
    </row>
    <row r="836" spans="1:5" ht="12.75">
      <c r="A836" s="4" t="s">
        <v>97</v>
      </c>
      <c r="B836" s="6" t="s">
        <v>86</v>
      </c>
      <c r="C836" s="3" t="s">
        <v>47</v>
      </c>
      <c r="D836" s="3">
        <v>6.46</v>
      </c>
      <c r="E836" s="33">
        <v>10074.02</v>
      </c>
    </row>
    <row r="837" spans="1:5" ht="12.75">
      <c r="A837" s="4" t="s">
        <v>97</v>
      </c>
      <c r="B837" s="6" t="s">
        <v>98</v>
      </c>
      <c r="C837" s="3" t="s">
        <v>47</v>
      </c>
      <c r="D837" s="3">
        <v>6.46</v>
      </c>
      <c r="E837" s="33">
        <v>10074.02</v>
      </c>
    </row>
    <row r="838" spans="1:5" ht="12.75">
      <c r="A838" s="4" t="s">
        <v>100</v>
      </c>
      <c r="B838" s="6" t="s">
        <v>93</v>
      </c>
      <c r="C838" s="3" t="s">
        <v>47</v>
      </c>
      <c r="D838" s="3">
        <v>11.73</v>
      </c>
      <c r="E838" s="33">
        <v>13098.34</v>
      </c>
    </row>
    <row r="839" spans="1:5" ht="12.75">
      <c r="A839" s="4" t="s">
        <v>100</v>
      </c>
      <c r="B839" s="6" t="s">
        <v>95</v>
      </c>
      <c r="C839" s="3" t="s">
        <v>47</v>
      </c>
      <c r="D839" s="3">
        <v>22.45</v>
      </c>
      <c r="E839" s="33">
        <v>29532.95</v>
      </c>
    </row>
    <row r="840" spans="1:5" ht="12.75">
      <c r="A840" s="4" t="s">
        <v>100</v>
      </c>
      <c r="B840" s="6" t="s">
        <v>103</v>
      </c>
      <c r="C840" s="3" t="s">
        <v>47</v>
      </c>
      <c r="D840" s="3">
        <v>22.45</v>
      </c>
      <c r="E840" s="33">
        <v>29532.95</v>
      </c>
    </row>
    <row r="841" spans="1:5" ht="12.75">
      <c r="A841" s="4" t="s">
        <v>100</v>
      </c>
      <c r="B841" s="6" t="s">
        <v>96</v>
      </c>
      <c r="C841" s="3" t="s">
        <v>47</v>
      </c>
      <c r="D841" s="3">
        <v>22.45</v>
      </c>
      <c r="E841" s="33">
        <v>29532.95</v>
      </c>
    </row>
    <row r="842" spans="1:5" ht="12.75">
      <c r="A842" s="4" t="s">
        <v>100</v>
      </c>
      <c r="B842" s="6" t="s">
        <v>106</v>
      </c>
      <c r="C842" s="3" t="s">
        <v>47</v>
      </c>
      <c r="D842" s="3">
        <v>17.546</v>
      </c>
      <c r="E842" s="33">
        <v>20415.53</v>
      </c>
    </row>
    <row r="843" spans="1:5" ht="12.75">
      <c r="A843" s="4" t="s">
        <v>99</v>
      </c>
      <c r="B843" s="6" t="s">
        <v>107</v>
      </c>
      <c r="C843" s="3" t="s">
        <v>47</v>
      </c>
      <c r="D843" s="3">
        <v>17.546</v>
      </c>
      <c r="E843" s="33">
        <v>26422.4</v>
      </c>
    </row>
    <row r="844" spans="1:5" ht="12.75">
      <c r="A844" s="4" t="s">
        <v>100</v>
      </c>
      <c r="B844" s="6" t="s">
        <v>108</v>
      </c>
      <c r="C844" s="3" t="s">
        <v>47</v>
      </c>
      <c r="D844" s="3">
        <v>17.546</v>
      </c>
      <c r="E844" s="33">
        <v>26422.4</v>
      </c>
    </row>
    <row r="845" spans="1:5" ht="12.75">
      <c r="A845" s="4" t="s">
        <v>100</v>
      </c>
      <c r="B845" s="6" t="s">
        <v>110</v>
      </c>
      <c r="C845" s="3" t="s">
        <v>47</v>
      </c>
      <c r="D845" s="3">
        <v>17.546</v>
      </c>
      <c r="E845" s="33">
        <v>28449.97</v>
      </c>
    </row>
    <row r="846" spans="1:5" ht="12.75">
      <c r="A846" s="4" t="s">
        <v>100</v>
      </c>
      <c r="B846" s="6" t="s">
        <v>112</v>
      </c>
      <c r="C846" s="3" t="s">
        <v>47</v>
      </c>
      <c r="D846" s="3">
        <v>22.45</v>
      </c>
      <c r="E846" s="33">
        <v>29532.95</v>
      </c>
    </row>
    <row r="847" spans="1:5" ht="12.75">
      <c r="A847" s="4" t="s">
        <v>100</v>
      </c>
      <c r="B847" s="6" t="s">
        <v>116</v>
      </c>
      <c r="C847" s="3" t="s">
        <v>47</v>
      </c>
      <c r="D847" s="3">
        <v>22.45</v>
      </c>
      <c r="E847" s="33">
        <v>29532.95</v>
      </c>
    </row>
    <row r="848" spans="1:5" ht="12.75">
      <c r="A848" s="4" t="s">
        <v>100</v>
      </c>
      <c r="B848" s="6" t="s">
        <v>117</v>
      </c>
      <c r="C848" s="3" t="s">
        <v>47</v>
      </c>
      <c r="D848" s="3">
        <v>22.45</v>
      </c>
      <c r="E848" s="33">
        <v>29532.95</v>
      </c>
    </row>
    <row r="849" spans="1:5" ht="12.75">
      <c r="A849" s="4" t="s">
        <v>100</v>
      </c>
      <c r="B849" s="6" t="s">
        <v>118</v>
      </c>
      <c r="C849" s="3" t="s">
        <v>47</v>
      </c>
      <c r="D849" s="3">
        <v>22.45</v>
      </c>
      <c r="E849" s="33">
        <v>29532.95</v>
      </c>
    </row>
    <row r="850" spans="1:5" ht="12.75">
      <c r="A850" s="4" t="s">
        <v>100</v>
      </c>
      <c r="B850" s="6" t="s">
        <v>120</v>
      </c>
      <c r="C850" s="3" t="s">
        <v>47</v>
      </c>
      <c r="D850" s="3">
        <v>29.33</v>
      </c>
      <c r="E850" s="33">
        <v>23574.62</v>
      </c>
    </row>
    <row r="851" spans="1:5" ht="12.75">
      <c r="A851" s="4" t="s">
        <v>100</v>
      </c>
      <c r="B851" s="6" t="s">
        <v>123</v>
      </c>
      <c r="C851" s="3" t="s">
        <v>47</v>
      </c>
      <c r="D851" s="3">
        <v>22.45</v>
      </c>
      <c r="E851" s="33">
        <v>29532.95</v>
      </c>
    </row>
    <row r="852" spans="1:5" ht="12.75">
      <c r="A852" s="4" t="s">
        <v>125</v>
      </c>
      <c r="B852" s="6" t="s">
        <v>93</v>
      </c>
      <c r="C852" s="3" t="s">
        <v>47</v>
      </c>
      <c r="D852" s="3">
        <v>6.46</v>
      </c>
      <c r="E852" s="33">
        <v>10074.02</v>
      </c>
    </row>
    <row r="853" spans="1:5" ht="12.75">
      <c r="A853" s="4" t="s">
        <v>126</v>
      </c>
      <c r="B853" s="6" t="s">
        <v>121</v>
      </c>
      <c r="C853" s="3" t="s">
        <v>47</v>
      </c>
      <c r="D853" s="3">
        <v>29.33</v>
      </c>
      <c r="E853" s="33">
        <v>32722.45</v>
      </c>
    </row>
    <row r="854" spans="1:5" ht="12.75">
      <c r="A854" s="4" t="s">
        <v>126</v>
      </c>
      <c r="B854" s="6" t="s">
        <v>128</v>
      </c>
      <c r="C854" s="3" t="s">
        <v>47</v>
      </c>
      <c r="D854" s="3">
        <v>1.34</v>
      </c>
      <c r="E854" s="33">
        <v>6377.5</v>
      </c>
    </row>
    <row r="855" spans="1:5" ht="12.75">
      <c r="A855" s="4" t="s">
        <v>126</v>
      </c>
      <c r="B855" s="6" t="s">
        <v>87</v>
      </c>
      <c r="C855" s="3" t="s">
        <v>47</v>
      </c>
      <c r="D855" s="3">
        <v>1.34</v>
      </c>
      <c r="E855" s="33">
        <v>6495.6</v>
      </c>
    </row>
    <row r="856" spans="1:5" ht="12.75" hidden="1">
      <c r="A856" s="4" t="s">
        <v>129</v>
      </c>
      <c r="B856" s="6" t="s">
        <v>130</v>
      </c>
      <c r="C856" s="3" t="s">
        <v>47</v>
      </c>
      <c r="D856" s="3"/>
      <c r="E856" s="33"/>
    </row>
    <row r="857" spans="1:5" ht="12.75">
      <c r="A857" s="4" t="s">
        <v>129</v>
      </c>
      <c r="B857" s="6" t="s">
        <v>84</v>
      </c>
      <c r="C857" s="3" t="s">
        <v>47</v>
      </c>
      <c r="D857" s="3">
        <v>6.46</v>
      </c>
      <c r="E857" s="33">
        <v>10074.02</v>
      </c>
    </row>
    <row r="858" spans="1:5" ht="12.75" hidden="1">
      <c r="A858" s="4" t="s">
        <v>129</v>
      </c>
      <c r="B858" s="6" t="s">
        <v>131</v>
      </c>
      <c r="C858" s="3" t="s">
        <v>47</v>
      </c>
      <c r="D858" s="3"/>
      <c r="E858" s="33"/>
    </row>
    <row r="859" spans="1:5" ht="12.75">
      <c r="A859" s="4" t="s">
        <v>129</v>
      </c>
      <c r="B859" s="6" t="s">
        <v>132</v>
      </c>
      <c r="C859" s="3" t="s">
        <v>47</v>
      </c>
      <c r="D859" s="3">
        <v>6.46</v>
      </c>
      <c r="E859" s="33">
        <v>10365.21</v>
      </c>
    </row>
    <row r="860" spans="1:5" ht="12.75">
      <c r="A860" s="4" t="s">
        <v>129</v>
      </c>
      <c r="B860" s="6" t="s">
        <v>87</v>
      </c>
      <c r="C860" s="3" t="s">
        <v>47</v>
      </c>
      <c r="D860" s="3">
        <v>11.73</v>
      </c>
      <c r="E860" s="33">
        <v>12287.29</v>
      </c>
    </row>
    <row r="861" spans="1:5" ht="12.75">
      <c r="A861" s="4" t="s">
        <v>129</v>
      </c>
      <c r="B861" s="6" t="s">
        <v>88</v>
      </c>
      <c r="C861" s="3" t="s">
        <v>47</v>
      </c>
      <c r="D861" s="3">
        <v>11.78</v>
      </c>
      <c r="E861" s="33">
        <v>20114.33</v>
      </c>
    </row>
    <row r="862" spans="1:5" ht="12.75">
      <c r="A862" s="4" t="s">
        <v>129</v>
      </c>
      <c r="B862" s="6" t="s">
        <v>134</v>
      </c>
      <c r="C862" s="3" t="s">
        <v>47</v>
      </c>
      <c r="D862" s="3">
        <v>11.73</v>
      </c>
      <c r="E862" s="33">
        <v>10285.02</v>
      </c>
    </row>
    <row r="863" spans="1:5" ht="12.75">
      <c r="A863" s="4" t="s">
        <v>129</v>
      </c>
      <c r="B863" s="6" t="s">
        <v>89</v>
      </c>
      <c r="C863" s="3" t="s">
        <v>47</v>
      </c>
      <c r="D863" s="3">
        <v>11.73</v>
      </c>
      <c r="E863" s="33">
        <v>12287.29</v>
      </c>
    </row>
    <row r="864" spans="1:5" ht="12.75">
      <c r="A864" s="4" t="s">
        <v>129</v>
      </c>
      <c r="B864" s="6" t="s">
        <v>136</v>
      </c>
      <c r="C864" s="3" t="s">
        <v>47</v>
      </c>
      <c r="D864" s="3">
        <v>11.73</v>
      </c>
      <c r="E864" s="33">
        <v>12287.29</v>
      </c>
    </row>
    <row r="865" spans="1:5" ht="12.75">
      <c r="A865" s="4" t="s">
        <v>129</v>
      </c>
      <c r="B865" s="6" t="s">
        <v>135</v>
      </c>
      <c r="C865" s="3" t="s">
        <v>47</v>
      </c>
      <c r="D865" s="3">
        <v>6.46</v>
      </c>
      <c r="E865" s="33">
        <v>10074.02</v>
      </c>
    </row>
    <row r="866" spans="1:5" ht="12.75">
      <c r="A866" s="4" t="s">
        <v>129</v>
      </c>
      <c r="B866" s="6" t="s">
        <v>91</v>
      </c>
      <c r="C866" s="3" t="s">
        <v>47</v>
      </c>
      <c r="D866" s="3">
        <v>6.46</v>
      </c>
      <c r="E866" s="33">
        <v>12367.52</v>
      </c>
    </row>
    <row r="867" spans="1:5" ht="12.75">
      <c r="A867" s="4" t="s">
        <v>138</v>
      </c>
      <c r="B867" s="6" t="s">
        <v>93</v>
      </c>
      <c r="C867" s="3" t="s">
        <v>47</v>
      </c>
      <c r="D867" s="3">
        <v>3.23</v>
      </c>
      <c r="E867" s="33">
        <v>4688.54</v>
      </c>
    </row>
    <row r="868" spans="1:5" ht="12.75">
      <c r="A868" s="4" t="s">
        <v>138</v>
      </c>
      <c r="B868" s="6" t="s">
        <v>94</v>
      </c>
      <c r="C868" s="3" t="s">
        <v>47</v>
      </c>
      <c r="D868" s="3">
        <v>3.23</v>
      </c>
      <c r="E868" s="33">
        <v>4688.54</v>
      </c>
    </row>
    <row r="869" spans="1:5" ht="12.75">
      <c r="A869" s="4" t="s">
        <v>138</v>
      </c>
      <c r="B869" s="6" t="s">
        <v>96</v>
      </c>
      <c r="C869" s="3" t="s">
        <v>47</v>
      </c>
      <c r="D869" s="3">
        <v>3.23</v>
      </c>
      <c r="E869" s="33">
        <v>4688.54</v>
      </c>
    </row>
    <row r="870" spans="1:5" ht="12.75">
      <c r="A870" s="4" t="s">
        <v>138</v>
      </c>
      <c r="B870" s="6" t="s">
        <v>106</v>
      </c>
      <c r="C870" s="3" t="s">
        <v>47</v>
      </c>
      <c r="D870" s="3">
        <v>2.93</v>
      </c>
      <c r="E870" s="33">
        <v>3795.01</v>
      </c>
    </row>
    <row r="871" spans="1:5" ht="12.75">
      <c r="A871" s="4" t="s">
        <v>138</v>
      </c>
      <c r="B871" s="6" t="s">
        <v>107</v>
      </c>
      <c r="C871" s="3" t="s">
        <v>47</v>
      </c>
      <c r="D871" s="3">
        <v>3.23</v>
      </c>
      <c r="E871" s="33">
        <v>4688.54</v>
      </c>
    </row>
    <row r="872" spans="1:5" ht="12.75">
      <c r="A872" s="4" t="s">
        <v>138</v>
      </c>
      <c r="B872" s="6" t="s">
        <v>108</v>
      </c>
      <c r="C872" s="3" t="s">
        <v>47</v>
      </c>
      <c r="D872" s="3">
        <v>10.96</v>
      </c>
      <c r="E872" s="33">
        <v>13533.53</v>
      </c>
    </row>
    <row r="873" spans="1:5" ht="12.75">
      <c r="A873" s="4" t="s">
        <v>142</v>
      </c>
      <c r="B873" s="6" t="s">
        <v>93</v>
      </c>
      <c r="C873" s="3" t="s">
        <v>47</v>
      </c>
      <c r="D873" s="3">
        <v>3.23</v>
      </c>
      <c r="E873" s="33">
        <v>4688.54</v>
      </c>
    </row>
    <row r="874" spans="1:5" ht="12.75">
      <c r="A874" s="4" t="s">
        <v>142</v>
      </c>
      <c r="B874" s="6" t="s">
        <v>94</v>
      </c>
      <c r="C874" s="3" t="s">
        <v>47</v>
      </c>
      <c r="D874" s="3">
        <v>3.23</v>
      </c>
      <c r="E874" s="33">
        <v>4688.54</v>
      </c>
    </row>
    <row r="875" spans="1:5" ht="12.75">
      <c r="A875" s="4" t="s">
        <v>142</v>
      </c>
      <c r="B875" s="6" t="s">
        <v>96</v>
      </c>
      <c r="C875" s="3" t="s">
        <v>47</v>
      </c>
      <c r="D875" s="3">
        <v>3.23</v>
      </c>
      <c r="E875" s="33">
        <v>4688.54</v>
      </c>
    </row>
    <row r="876" spans="1:5" ht="12.75">
      <c r="A876" s="4" t="s">
        <v>142</v>
      </c>
      <c r="B876" s="6" t="s">
        <v>106</v>
      </c>
      <c r="C876" s="3" t="s">
        <v>47</v>
      </c>
      <c r="D876" s="3">
        <v>3.23</v>
      </c>
      <c r="E876" s="33">
        <v>4688.54</v>
      </c>
    </row>
    <row r="877" spans="1:5" ht="12.75">
      <c r="A877" s="4" t="s">
        <v>142</v>
      </c>
      <c r="B877" s="6" t="s">
        <v>107</v>
      </c>
      <c r="C877" s="3" t="s">
        <v>47</v>
      </c>
      <c r="D877" s="3">
        <v>3.23</v>
      </c>
      <c r="E877" s="33">
        <v>4688.54</v>
      </c>
    </row>
    <row r="878" spans="1:5" ht="12.75">
      <c r="A878" s="4" t="s">
        <v>142</v>
      </c>
      <c r="B878" s="6" t="s">
        <v>108</v>
      </c>
      <c r="C878" s="3" t="s">
        <v>47</v>
      </c>
      <c r="D878" s="3">
        <v>3.23</v>
      </c>
      <c r="E878" s="33">
        <v>4688.54</v>
      </c>
    </row>
    <row r="879" spans="1:5" ht="12.75">
      <c r="A879" s="4" t="s">
        <v>142</v>
      </c>
      <c r="B879" s="6" t="s">
        <v>112</v>
      </c>
      <c r="C879" s="3" t="s">
        <v>47</v>
      </c>
      <c r="D879" s="3">
        <v>3.23</v>
      </c>
      <c r="E879" s="33">
        <v>4688.54</v>
      </c>
    </row>
    <row r="880" spans="1:5" ht="12.75">
      <c r="A880" s="4" t="s">
        <v>142</v>
      </c>
      <c r="B880" s="6" t="s">
        <v>120</v>
      </c>
      <c r="C880" s="3" t="s">
        <v>47</v>
      </c>
      <c r="D880" s="3">
        <v>3.23</v>
      </c>
      <c r="E880" s="33">
        <v>4688.54</v>
      </c>
    </row>
    <row r="881" spans="1:5" ht="12.75" hidden="1">
      <c r="A881" s="4"/>
      <c r="B881" s="6"/>
      <c r="C881" s="3"/>
      <c r="D881" s="3"/>
      <c r="E881" s="33"/>
    </row>
    <row r="882" spans="1:5" ht="12.75">
      <c r="A882" s="15" t="s">
        <v>145</v>
      </c>
      <c r="B882" s="6"/>
      <c r="C882" s="3"/>
      <c r="D882" s="3"/>
      <c r="E882" s="34">
        <f>SUM(E802:E881)</f>
        <v>1010014.4900000005</v>
      </c>
    </row>
    <row r="883" spans="1:5" ht="12.75">
      <c r="A883" s="45" t="s">
        <v>195</v>
      </c>
      <c r="B883" s="46"/>
      <c r="C883" s="46"/>
      <c r="D883" s="46"/>
      <c r="E883" s="47"/>
    </row>
    <row r="884" spans="1:5" ht="12.75">
      <c r="A884" s="4" t="s">
        <v>40</v>
      </c>
      <c r="B884" s="6" t="s">
        <v>59</v>
      </c>
      <c r="C884" s="3" t="s">
        <v>47</v>
      </c>
      <c r="D884" s="3">
        <v>5.89</v>
      </c>
      <c r="E884" s="33">
        <v>1402</v>
      </c>
    </row>
    <row r="885" spans="1:5" ht="12.75">
      <c r="A885" s="4" t="s">
        <v>40</v>
      </c>
      <c r="B885" s="6" t="s">
        <v>62</v>
      </c>
      <c r="C885" s="3" t="s">
        <v>47</v>
      </c>
      <c r="D885" s="3">
        <v>5.89</v>
      </c>
      <c r="E885" s="33">
        <v>1402</v>
      </c>
    </row>
    <row r="886" spans="1:5" ht="12.75">
      <c r="A886" s="4" t="s">
        <v>40</v>
      </c>
      <c r="B886" s="6" t="s">
        <v>78</v>
      </c>
      <c r="C886" s="3" t="s">
        <v>47</v>
      </c>
      <c r="D886" s="3">
        <v>9.308</v>
      </c>
      <c r="E886" s="33">
        <v>2223</v>
      </c>
    </row>
    <row r="887" spans="1:5" ht="12.75">
      <c r="A887" s="4" t="s">
        <v>40</v>
      </c>
      <c r="B887" s="6" t="s">
        <v>79</v>
      </c>
      <c r="C887" s="3" t="s">
        <v>47</v>
      </c>
      <c r="D887" s="3">
        <v>4.654</v>
      </c>
      <c r="E887" s="33">
        <f>1128</f>
        <v>1128</v>
      </c>
    </row>
    <row r="888" spans="1:5" ht="12.75">
      <c r="A888" s="4" t="s">
        <v>40</v>
      </c>
      <c r="B888" s="6" t="s">
        <v>81</v>
      </c>
      <c r="C888" s="3" t="s">
        <v>47</v>
      </c>
      <c r="D888" s="3">
        <v>2.163</v>
      </c>
      <c r="E888" s="33">
        <v>518</v>
      </c>
    </row>
    <row r="889" spans="1:5" ht="12.75">
      <c r="A889" s="4" t="s">
        <v>83</v>
      </c>
      <c r="B889" s="6" t="s">
        <v>52</v>
      </c>
      <c r="C889" s="3" t="s">
        <v>47</v>
      </c>
      <c r="D889" s="3">
        <v>4.654</v>
      </c>
      <c r="E889" s="33">
        <f>1128</f>
        <v>1128</v>
      </c>
    </row>
    <row r="890" spans="1:5" ht="12.75" hidden="1">
      <c r="A890" s="4"/>
      <c r="B890" s="6"/>
      <c r="C890" s="3" t="s">
        <v>47</v>
      </c>
      <c r="D890" s="3"/>
      <c r="E890" s="33"/>
    </row>
    <row r="891" spans="1:5" ht="12.75" hidden="1">
      <c r="A891" s="4"/>
      <c r="B891" s="6"/>
      <c r="C891" s="3" t="s">
        <v>47</v>
      </c>
      <c r="D891" s="3"/>
      <c r="E891" s="33"/>
    </row>
    <row r="892" spans="1:5" ht="12.75">
      <c r="A892" s="15" t="s">
        <v>145</v>
      </c>
      <c r="B892" s="6"/>
      <c r="C892" s="3"/>
      <c r="D892" s="3"/>
      <c r="E892" s="34">
        <f>SUM(E884:E891)</f>
        <v>7801</v>
      </c>
    </row>
    <row r="893" spans="1:5" ht="12.75">
      <c r="A893" s="45" t="s">
        <v>184</v>
      </c>
      <c r="B893" s="46"/>
      <c r="C893" s="46"/>
      <c r="D893" s="46"/>
      <c r="E893" s="47"/>
    </row>
    <row r="894" spans="1:5" ht="12.75">
      <c r="A894" s="4" t="s">
        <v>40</v>
      </c>
      <c r="B894" s="6" t="s">
        <v>41</v>
      </c>
      <c r="C894" s="6" t="s">
        <v>44</v>
      </c>
      <c r="D894" s="6">
        <f>3+2+1+1</f>
        <v>7</v>
      </c>
      <c r="E894" s="27">
        <f>660.86+448.34+560+677</f>
        <v>2346.2</v>
      </c>
    </row>
    <row r="895" spans="1:5" ht="12.75">
      <c r="A895" s="4" t="s">
        <v>40</v>
      </c>
      <c r="B895" s="6" t="s">
        <v>56</v>
      </c>
      <c r="C895" s="6" t="s">
        <v>44</v>
      </c>
      <c r="D895" s="6">
        <v>1</v>
      </c>
      <c r="E895" s="27">
        <f>4915.93</f>
        <v>4915.93</v>
      </c>
    </row>
    <row r="896" spans="1:5" ht="12.75">
      <c r="A896" s="4" t="s">
        <v>40</v>
      </c>
      <c r="B896" s="6" t="s">
        <v>57</v>
      </c>
      <c r="C896" s="6" t="s">
        <v>44</v>
      </c>
      <c r="D896" s="6">
        <v>1</v>
      </c>
      <c r="E896" s="27">
        <f>228.25</f>
        <v>228.25</v>
      </c>
    </row>
    <row r="897" spans="1:5" ht="12.75">
      <c r="A897" s="4" t="s">
        <v>40</v>
      </c>
      <c r="B897" s="6" t="s">
        <v>59</v>
      </c>
      <c r="C897" s="6" t="s">
        <v>44</v>
      </c>
      <c r="D897" s="6">
        <f>1</f>
        <v>1</v>
      </c>
      <c r="E897" s="27">
        <f>362.25</f>
        <v>362.25</v>
      </c>
    </row>
    <row r="898" spans="1:5" ht="12.75">
      <c r="A898" s="4" t="s">
        <v>40</v>
      </c>
      <c r="B898" s="6" t="s">
        <v>61</v>
      </c>
      <c r="C898" s="6" t="s">
        <v>44</v>
      </c>
      <c r="D898" s="6">
        <f>1+2+1</f>
        <v>4</v>
      </c>
      <c r="E898" s="35">
        <f>293.53+456.86+215</f>
        <v>965.39</v>
      </c>
    </row>
    <row r="899" spans="1:5" ht="12.75" hidden="1">
      <c r="A899" s="4" t="s">
        <v>40</v>
      </c>
      <c r="B899" s="6" t="s">
        <v>62</v>
      </c>
      <c r="C899" s="6" t="s">
        <v>44</v>
      </c>
      <c r="D899" s="6"/>
      <c r="E899" s="27"/>
    </row>
    <row r="900" spans="1:5" ht="12.75" hidden="1">
      <c r="A900" s="4" t="s">
        <v>40</v>
      </c>
      <c r="B900" s="6" t="s">
        <v>66</v>
      </c>
      <c r="C900" s="6" t="s">
        <v>44</v>
      </c>
      <c r="D900" s="6"/>
      <c r="E900" s="27"/>
    </row>
    <row r="901" spans="1:5" ht="12.75">
      <c r="A901" s="4" t="s">
        <v>40</v>
      </c>
      <c r="B901" s="6" t="s">
        <v>68</v>
      </c>
      <c r="C901" s="6" t="s">
        <v>44</v>
      </c>
      <c r="D901" s="6">
        <f>1+1+1</f>
        <v>3</v>
      </c>
      <c r="E901" s="27">
        <f>293.53+1209+564</f>
        <v>2066.5299999999997</v>
      </c>
    </row>
    <row r="902" spans="1:5" ht="12.75" hidden="1">
      <c r="A902" s="4" t="s">
        <v>40</v>
      </c>
      <c r="B902" s="6" t="s">
        <v>70</v>
      </c>
      <c r="C902" s="6" t="s">
        <v>44</v>
      </c>
      <c r="D902" s="6"/>
      <c r="E902" s="27"/>
    </row>
    <row r="903" spans="1:5" ht="12.75">
      <c r="A903" s="4" t="s">
        <v>40</v>
      </c>
      <c r="B903" s="6" t="s">
        <v>72</v>
      </c>
      <c r="C903" s="6" t="s">
        <v>44</v>
      </c>
      <c r="D903" s="6">
        <v>6</v>
      </c>
      <c r="E903" s="27">
        <f>2008.4</f>
        <v>2008.4</v>
      </c>
    </row>
    <row r="904" spans="1:5" ht="12.75" hidden="1">
      <c r="A904" s="4" t="s">
        <v>40</v>
      </c>
      <c r="B904" s="6" t="s">
        <v>74</v>
      </c>
      <c r="C904" s="6" t="s">
        <v>44</v>
      </c>
      <c r="D904" s="6"/>
      <c r="E904" s="27"/>
    </row>
    <row r="905" spans="1:5" ht="12.75">
      <c r="A905" s="4" t="s">
        <v>40</v>
      </c>
      <c r="B905" s="6" t="s">
        <v>75</v>
      </c>
      <c r="C905" s="6" t="s">
        <v>44</v>
      </c>
      <c r="D905" s="6">
        <f>1+1</f>
        <v>2</v>
      </c>
      <c r="E905" s="27">
        <f>2056.85+334.86</f>
        <v>2391.71</v>
      </c>
    </row>
    <row r="906" spans="1:5" ht="12.75">
      <c r="A906" s="4" t="s">
        <v>40</v>
      </c>
      <c r="B906" s="6" t="s">
        <v>78</v>
      </c>
      <c r="C906" s="6" t="s">
        <v>44</v>
      </c>
      <c r="D906" s="6">
        <f>2+1</f>
        <v>3</v>
      </c>
      <c r="E906" s="27">
        <f>587.71+5177.79</f>
        <v>5765.5</v>
      </c>
    </row>
    <row r="907" spans="1:5" ht="12.75">
      <c r="A907" s="4" t="s">
        <v>40</v>
      </c>
      <c r="B907" s="6" t="s">
        <v>79</v>
      </c>
      <c r="C907" s="6" t="s">
        <v>44</v>
      </c>
      <c r="D907" s="6">
        <f>1</f>
        <v>1</v>
      </c>
      <c r="E907" s="27">
        <f>293.53</f>
        <v>293.53</v>
      </c>
    </row>
    <row r="908" spans="1:5" ht="12.75" hidden="1">
      <c r="A908" s="4" t="s">
        <v>40</v>
      </c>
      <c r="B908" s="6" t="s">
        <v>80</v>
      </c>
      <c r="C908" s="6" t="s">
        <v>44</v>
      </c>
      <c r="D908" s="6"/>
      <c r="E908" s="27"/>
    </row>
    <row r="909" spans="1:5" ht="12.75">
      <c r="A909" s="4" t="s">
        <v>83</v>
      </c>
      <c r="B909" s="6" t="s">
        <v>84</v>
      </c>
      <c r="C909" s="6" t="s">
        <v>44</v>
      </c>
      <c r="D909" s="6">
        <f>1+1+1</f>
        <v>3</v>
      </c>
      <c r="E909" s="27">
        <f>334.86+334.86+339</f>
        <v>1008.72</v>
      </c>
    </row>
    <row r="910" spans="1:5" ht="12.75">
      <c r="A910" s="4" t="s">
        <v>83</v>
      </c>
      <c r="B910" s="6" t="s">
        <v>87</v>
      </c>
      <c r="C910" s="6" t="s">
        <v>44</v>
      </c>
      <c r="D910" s="6">
        <f>1+2</f>
        <v>3</v>
      </c>
      <c r="E910" s="27">
        <f>362.94+870</f>
        <v>1232.94</v>
      </c>
    </row>
    <row r="911" spans="1:5" ht="12.75">
      <c r="A911" s="4" t="s">
        <v>83</v>
      </c>
      <c r="B911" s="6" t="s">
        <v>90</v>
      </c>
      <c r="C911" s="6" t="s">
        <v>44</v>
      </c>
      <c r="D911" s="6">
        <f>3</f>
        <v>3</v>
      </c>
      <c r="E911" s="27">
        <f>984</f>
        <v>984</v>
      </c>
    </row>
    <row r="912" spans="1:5" ht="12.75">
      <c r="A912" s="4" t="s">
        <v>83</v>
      </c>
      <c r="B912" s="6" t="s">
        <v>91</v>
      </c>
      <c r="C912" s="6" t="s">
        <v>44</v>
      </c>
      <c r="D912" s="6">
        <f>2</f>
        <v>2</v>
      </c>
      <c r="E912" s="27">
        <f>236.46</f>
        <v>236.46</v>
      </c>
    </row>
    <row r="913" spans="1:5" ht="12.75" hidden="1">
      <c r="A913" s="4" t="s">
        <v>83</v>
      </c>
      <c r="B913" s="6" t="s">
        <v>41</v>
      </c>
      <c r="C913" s="6" t="s">
        <v>44</v>
      </c>
      <c r="D913" s="6"/>
      <c r="E913" s="27"/>
    </row>
    <row r="914" spans="1:5" ht="12.75">
      <c r="A914" s="4" t="s">
        <v>83</v>
      </c>
      <c r="B914" s="6" t="s">
        <v>54</v>
      </c>
      <c r="C914" s="6" t="s">
        <v>44</v>
      </c>
      <c r="D914" s="6">
        <f>2+1+1+1</f>
        <v>5</v>
      </c>
      <c r="E914" s="27">
        <f>587.71+228.25+339+452</f>
        <v>1606.96</v>
      </c>
    </row>
    <row r="915" spans="1:5" ht="12.75" hidden="1">
      <c r="A915" s="4" t="s">
        <v>92</v>
      </c>
      <c r="B915" s="6" t="s">
        <v>93</v>
      </c>
      <c r="C915" s="6" t="s">
        <v>44</v>
      </c>
      <c r="D915" s="6"/>
      <c r="E915" s="27"/>
    </row>
    <row r="916" spans="1:5" ht="12.75">
      <c r="A916" s="4" t="s">
        <v>92</v>
      </c>
      <c r="B916" s="6" t="s">
        <v>96</v>
      </c>
      <c r="C916" s="6" t="s">
        <v>44</v>
      </c>
      <c r="D916" s="6">
        <f>1+2</f>
        <v>3</v>
      </c>
      <c r="E916" s="27">
        <f>2234.51+518.31</f>
        <v>2752.82</v>
      </c>
    </row>
    <row r="917" spans="1:5" ht="12.75">
      <c r="A917" s="4" t="s">
        <v>99</v>
      </c>
      <c r="B917" s="6" t="s">
        <v>93</v>
      </c>
      <c r="C917" s="6" t="s">
        <v>44</v>
      </c>
      <c r="D917" s="6">
        <v>4</v>
      </c>
      <c r="E917" s="27">
        <v>678.05</v>
      </c>
    </row>
    <row r="918" spans="1:5" ht="12.75">
      <c r="A918" s="4" t="s">
        <v>99</v>
      </c>
      <c r="B918" s="6" t="s">
        <v>95</v>
      </c>
      <c r="C918" s="6" t="s">
        <v>44</v>
      </c>
      <c r="D918" s="6">
        <f>1</f>
        <v>1</v>
      </c>
      <c r="E918" s="27">
        <f>339</f>
        <v>339</v>
      </c>
    </row>
    <row r="919" spans="1:5" ht="12.75">
      <c r="A919" s="4" t="s">
        <v>99</v>
      </c>
      <c r="B919" s="6" t="s">
        <v>103</v>
      </c>
      <c r="C919" s="6" t="s">
        <v>44</v>
      </c>
      <c r="D919" s="6">
        <f>1+1+1</f>
        <v>3</v>
      </c>
      <c r="E919" s="27">
        <f>361.14+218+339</f>
        <v>918.14</v>
      </c>
    </row>
    <row r="920" spans="1:5" ht="12.75">
      <c r="A920" s="4" t="s">
        <v>99</v>
      </c>
      <c r="B920" s="6" t="s">
        <v>96</v>
      </c>
      <c r="C920" s="6" t="s">
        <v>44</v>
      </c>
      <c r="D920" s="6">
        <f>1</f>
        <v>1</v>
      </c>
      <c r="E920" s="27">
        <f>452</f>
        <v>452</v>
      </c>
    </row>
    <row r="921" spans="1:5" ht="12.75">
      <c r="A921" s="4" t="s">
        <v>99</v>
      </c>
      <c r="B921" s="6" t="s">
        <v>106</v>
      </c>
      <c r="C921" s="6" t="s">
        <v>44</v>
      </c>
      <c r="D921" s="6">
        <f>2+1</f>
        <v>3</v>
      </c>
      <c r="E921" s="27">
        <f>656.81+452</f>
        <v>1108.81</v>
      </c>
    </row>
    <row r="922" spans="1:5" ht="12.75">
      <c r="A922" s="4" t="s">
        <v>99</v>
      </c>
      <c r="B922" s="6" t="s">
        <v>107</v>
      </c>
      <c r="C922" s="6" t="s">
        <v>44</v>
      </c>
      <c r="D922" s="6">
        <v>1</v>
      </c>
      <c r="E922" s="27">
        <v>362.94</v>
      </c>
    </row>
    <row r="923" spans="1:5" ht="12.75">
      <c r="A923" s="4" t="s">
        <v>99</v>
      </c>
      <c r="B923" s="6" t="s">
        <v>108</v>
      </c>
      <c r="C923" s="6" t="s">
        <v>44</v>
      </c>
      <c r="D923" s="6">
        <f>1+1+2</f>
        <v>4</v>
      </c>
      <c r="E923" s="27">
        <f>293.53+215+1549</f>
        <v>2057.5299999999997</v>
      </c>
    </row>
    <row r="924" spans="1:5" ht="12.75">
      <c r="A924" s="4" t="s">
        <v>99</v>
      </c>
      <c r="B924" s="6" t="s">
        <v>110</v>
      </c>
      <c r="C924" s="6" t="s">
        <v>44</v>
      </c>
      <c r="D924" s="6">
        <v>2</v>
      </c>
      <c r="E924" s="27">
        <v>339.01</v>
      </c>
    </row>
    <row r="925" spans="1:5" ht="12.75">
      <c r="A925" s="4" t="s">
        <v>99</v>
      </c>
      <c r="B925" s="6" t="s">
        <v>112</v>
      </c>
      <c r="C925" s="6" t="s">
        <v>44</v>
      </c>
      <c r="D925" s="6">
        <f>1+1</f>
        <v>2</v>
      </c>
      <c r="E925" s="27">
        <f>334.86+8957.92</f>
        <v>9292.78</v>
      </c>
    </row>
    <row r="926" spans="1:5" ht="12.75">
      <c r="A926" s="4" t="s">
        <v>99</v>
      </c>
      <c r="B926" s="6" t="s">
        <v>116</v>
      </c>
      <c r="C926" s="6" t="s">
        <v>44</v>
      </c>
      <c r="D926" s="6">
        <f>1</f>
        <v>1</v>
      </c>
      <c r="E926" s="27">
        <f>224.36</f>
        <v>224.36</v>
      </c>
    </row>
    <row r="927" spans="1:5" ht="12.75">
      <c r="A927" s="4" t="s">
        <v>99</v>
      </c>
      <c r="B927" s="6" t="s">
        <v>117</v>
      </c>
      <c r="C927" s="6" t="s">
        <v>44</v>
      </c>
      <c r="D927" s="6">
        <f>1</f>
        <v>1</v>
      </c>
      <c r="E927" s="27">
        <f>339</f>
        <v>339</v>
      </c>
    </row>
    <row r="928" spans="1:5" ht="12.75">
      <c r="A928" s="4" t="s">
        <v>99</v>
      </c>
      <c r="B928" s="6" t="s">
        <v>118</v>
      </c>
      <c r="C928" s="6" t="s">
        <v>44</v>
      </c>
      <c r="D928" s="6">
        <f>2+1</f>
        <v>3</v>
      </c>
      <c r="E928" s="27">
        <f>518.31+362.94</f>
        <v>881.25</v>
      </c>
    </row>
    <row r="929" spans="1:5" ht="12.75">
      <c r="A929" s="4" t="s">
        <v>99</v>
      </c>
      <c r="B929" s="6" t="s">
        <v>120</v>
      </c>
      <c r="C929" s="6" t="s">
        <v>44</v>
      </c>
      <c r="D929" s="6">
        <f>3</f>
        <v>3</v>
      </c>
      <c r="E929" s="27">
        <f>823</f>
        <v>823</v>
      </c>
    </row>
    <row r="930" spans="1:5" ht="12.75" hidden="1">
      <c r="A930" s="4" t="s">
        <v>99</v>
      </c>
      <c r="B930" s="6" t="s">
        <v>123</v>
      </c>
      <c r="C930" s="6" t="s">
        <v>44</v>
      </c>
      <c r="D930" s="6"/>
      <c r="E930" s="27"/>
    </row>
    <row r="931" spans="1:5" ht="12.75">
      <c r="A931" s="4" t="s">
        <v>125</v>
      </c>
      <c r="B931" s="6" t="s">
        <v>93</v>
      </c>
      <c r="C931" s="6" t="s">
        <v>44</v>
      </c>
      <c r="D931" s="6">
        <v>1</v>
      </c>
      <c r="E931" s="27">
        <v>114.25</v>
      </c>
    </row>
    <row r="932" spans="1:5" ht="12.75">
      <c r="A932" s="4" t="s">
        <v>125</v>
      </c>
      <c r="B932" s="6" t="s">
        <v>121</v>
      </c>
      <c r="C932" s="6" t="s">
        <v>44</v>
      </c>
      <c r="D932" s="6">
        <f>1+1+2+1</f>
        <v>5</v>
      </c>
      <c r="E932" s="27">
        <f>362.94+334.86+565+564</f>
        <v>1826.8</v>
      </c>
    </row>
    <row r="933" spans="1:5" ht="12.75">
      <c r="A933" s="4" t="s">
        <v>129</v>
      </c>
      <c r="B933" s="6" t="s">
        <v>130</v>
      </c>
      <c r="C933" s="6" t="s">
        <v>44</v>
      </c>
      <c r="D933" s="6">
        <f>2+1</f>
        <v>3</v>
      </c>
      <c r="E933" s="27">
        <f>213.03+258</f>
        <v>471.03</v>
      </c>
    </row>
    <row r="934" spans="1:5" ht="12.75" hidden="1">
      <c r="A934" s="4" t="s">
        <v>129</v>
      </c>
      <c r="B934" s="6" t="s">
        <v>84</v>
      </c>
      <c r="C934" s="6" t="s">
        <v>44</v>
      </c>
      <c r="D934" s="6"/>
      <c r="E934" s="27"/>
    </row>
    <row r="935" spans="1:5" ht="12.75">
      <c r="A935" s="4" t="s">
        <v>129</v>
      </c>
      <c r="B935" s="6" t="s">
        <v>131</v>
      </c>
      <c r="C935" s="6" t="s">
        <v>44</v>
      </c>
      <c r="D935" s="6">
        <f>4+1+1+1</f>
        <v>7</v>
      </c>
      <c r="E935" s="27">
        <f>885.62+228.25+215+450</f>
        <v>1778.87</v>
      </c>
    </row>
    <row r="936" spans="1:5" ht="12.75">
      <c r="A936" s="4" t="s">
        <v>129</v>
      </c>
      <c r="B936" s="6" t="s">
        <v>132</v>
      </c>
      <c r="C936" s="6" t="s">
        <v>44</v>
      </c>
      <c r="D936" s="6">
        <f>1+1+1+5</f>
        <v>8</v>
      </c>
      <c r="E936" s="27">
        <f>301.7+334.86+667+1850</f>
        <v>3153.56</v>
      </c>
    </row>
    <row r="937" spans="1:5" ht="12.75">
      <c r="A937" s="4" t="s">
        <v>129</v>
      </c>
      <c r="B937" s="6" t="s">
        <v>87</v>
      </c>
      <c r="C937" s="6" t="s">
        <v>44</v>
      </c>
      <c r="D937" s="6">
        <f>1</f>
        <v>1</v>
      </c>
      <c r="E937" s="27">
        <f>1209</f>
        <v>1209</v>
      </c>
    </row>
    <row r="938" spans="1:5" ht="12.75">
      <c r="A938" s="4" t="s">
        <v>129</v>
      </c>
      <c r="B938" s="6" t="s">
        <v>88</v>
      </c>
      <c r="C938" s="6" t="s">
        <v>44</v>
      </c>
      <c r="D938" s="6">
        <f>1+1</f>
        <v>2</v>
      </c>
      <c r="E938" s="27">
        <f>215+215</f>
        <v>430</v>
      </c>
    </row>
    <row r="939" spans="1:5" ht="12.75">
      <c r="A939" s="4" t="s">
        <v>129</v>
      </c>
      <c r="B939" s="6" t="s">
        <v>134</v>
      </c>
      <c r="C939" s="6" t="s">
        <v>44</v>
      </c>
      <c r="D939" s="6">
        <f>1</f>
        <v>1</v>
      </c>
      <c r="E939" s="27">
        <f>293.53</f>
        <v>293.53</v>
      </c>
    </row>
    <row r="940" spans="1:5" ht="12.75">
      <c r="A940" s="4" t="s">
        <v>129</v>
      </c>
      <c r="B940" s="6" t="s">
        <v>89</v>
      </c>
      <c r="C940" s="6" t="s">
        <v>44</v>
      </c>
      <c r="D940" s="6">
        <f>1+1+1</f>
        <v>3</v>
      </c>
      <c r="E940" s="27">
        <f>4733.63+1818.36+339</f>
        <v>6890.99</v>
      </c>
    </row>
    <row r="941" spans="1:5" ht="12.75">
      <c r="A941" s="4" t="s">
        <v>129</v>
      </c>
      <c r="B941" s="6" t="s">
        <v>136</v>
      </c>
      <c r="C941" s="6" t="s">
        <v>44</v>
      </c>
      <c r="D941" s="6">
        <f>2</f>
        <v>2</v>
      </c>
      <c r="E941" s="27">
        <f>669.33</f>
        <v>669.33</v>
      </c>
    </row>
    <row r="942" spans="1:5" ht="12.75" hidden="1">
      <c r="A942" s="4" t="s">
        <v>129</v>
      </c>
      <c r="B942" s="6" t="s">
        <v>135</v>
      </c>
      <c r="C942" s="6" t="s">
        <v>44</v>
      </c>
      <c r="D942" s="6"/>
      <c r="E942" s="27"/>
    </row>
    <row r="943" spans="1:5" ht="12.75">
      <c r="A943" s="4" t="s">
        <v>129</v>
      </c>
      <c r="B943" s="6" t="s">
        <v>91</v>
      </c>
      <c r="C943" s="6" t="s">
        <v>44</v>
      </c>
      <c r="D943" s="6">
        <f>1+1</f>
        <v>2</v>
      </c>
      <c r="E943" s="27">
        <f>215+339</f>
        <v>554</v>
      </c>
    </row>
    <row r="944" spans="1:5" ht="12.75" hidden="1">
      <c r="A944" s="4" t="s">
        <v>138</v>
      </c>
      <c r="B944" s="6" t="s">
        <v>93</v>
      </c>
      <c r="C944" s="6" t="s">
        <v>44</v>
      </c>
      <c r="D944" s="6"/>
      <c r="E944" s="27"/>
    </row>
    <row r="945" spans="1:5" ht="12.75" hidden="1">
      <c r="A945" s="4" t="s">
        <v>138</v>
      </c>
      <c r="B945" s="6" t="s">
        <v>96</v>
      </c>
      <c r="C945" s="6" t="s">
        <v>44</v>
      </c>
      <c r="D945" s="6"/>
      <c r="E945" s="27"/>
    </row>
    <row r="946" spans="1:5" ht="12.75">
      <c r="A946" s="4" t="s">
        <v>138</v>
      </c>
      <c r="B946" s="6" t="s">
        <v>106</v>
      </c>
      <c r="C946" s="6" t="s">
        <v>44</v>
      </c>
      <c r="D946" s="6">
        <f>1</f>
        <v>1</v>
      </c>
      <c r="E946" s="27">
        <f>339</f>
        <v>339</v>
      </c>
    </row>
    <row r="947" spans="1:5" ht="12.75">
      <c r="A947" s="4" t="s">
        <v>138</v>
      </c>
      <c r="B947" s="6" t="s">
        <v>107</v>
      </c>
      <c r="C947" s="6" t="s">
        <v>44</v>
      </c>
      <c r="D947" s="6">
        <v>1</v>
      </c>
      <c r="E947" s="27">
        <v>228.25</v>
      </c>
    </row>
    <row r="948" spans="1:5" ht="12.75">
      <c r="A948" s="4" t="s">
        <v>138</v>
      </c>
      <c r="B948" s="6" t="s">
        <v>108</v>
      </c>
      <c r="C948" s="6" t="s">
        <v>44</v>
      </c>
      <c r="D948" s="6">
        <f>1+1</f>
        <v>2</v>
      </c>
      <c r="E948" s="27">
        <f>362.94+228.25</f>
        <v>591.19</v>
      </c>
    </row>
    <row r="949" spans="1:5" ht="12.75">
      <c r="A949" s="4" t="s">
        <v>142</v>
      </c>
      <c r="B949" s="6" t="s">
        <v>108</v>
      </c>
      <c r="C949" s="6" t="s">
        <v>44</v>
      </c>
      <c r="D949" s="6">
        <f>6</f>
        <v>6</v>
      </c>
      <c r="E949" s="27">
        <f>2008.4</f>
        <v>2008.4</v>
      </c>
    </row>
    <row r="950" spans="1:5" ht="12.75">
      <c r="A950" s="4" t="s">
        <v>142</v>
      </c>
      <c r="B950" s="6" t="s">
        <v>112</v>
      </c>
      <c r="C950" s="6" t="s">
        <v>44</v>
      </c>
      <c r="D950" s="6">
        <f>6</f>
        <v>6</v>
      </c>
      <c r="E950" s="27">
        <f>2008.4</f>
        <v>2008.4</v>
      </c>
    </row>
    <row r="951" spans="1:5" ht="12.75">
      <c r="A951" s="4" t="s">
        <v>142</v>
      </c>
      <c r="B951" s="6" t="s">
        <v>120</v>
      </c>
      <c r="C951" s="6" t="s">
        <v>44</v>
      </c>
      <c r="D951" s="6">
        <f>1</f>
        <v>1</v>
      </c>
      <c r="E951" s="27">
        <f>334.86</f>
        <v>334.86</v>
      </c>
    </row>
    <row r="952" spans="1:5" ht="12.75">
      <c r="A952" s="4" t="s">
        <v>97</v>
      </c>
      <c r="B952" s="6" t="s">
        <v>98</v>
      </c>
      <c r="C952" s="6" t="s">
        <v>44</v>
      </c>
      <c r="D952" s="3">
        <v>3</v>
      </c>
      <c r="E952" s="33">
        <f>319.71</f>
        <v>319.71</v>
      </c>
    </row>
    <row r="953" spans="1:5" ht="12.75" hidden="1">
      <c r="A953" s="4"/>
      <c r="B953" s="6"/>
      <c r="C953" s="6"/>
      <c r="D953" s="6"/>
      <c r="E953" s="27"/>
    </row>
    <row r="954" spans="1:5" ht="12.75" hidden="1">
      <c r="A954" s="4"/>
      <c r="B954" s="6"/>
      <c r="C954" s="6"/>
      <c r="D954" s="6"/>
      <c r="E954" s="27"/>
    </row>
    <row r="955" spans="1:5" ht="12.75" hidden="1">
      <c r="A955" s="4"/>
      <c r="B955" s="6"/>
      <c r="C955" s="6"/>
      <c r="D955" s="6"/>
      <c r="E955" s="27"/>
    </row>
    <row r="956" spans="1:5" ht="12.75">
      <c r="A956" s="15" t="s">
        <v>145</v>
      </c>
      <c r="B956" s="6"/>
      <c r="C956" s="6"/>
      <c r="D956" s="6"/>
      <c r="E956" s="28">
        <f>SUM(E894:E955)</f>
        <v>70202.63</v>
      </c>
    </row>
    <row r="957" spans="1:5" ht="12.75">
      <c r="A957" s="45" t="s">
        <v>37</v>
      </c>
      <c r="B957" s="46"/>
      <c r="C957" s="46"/>
      <c r="D957" s="46"/>
      <c r="E957" s="47"/>
    </row>
    <row r="958" spans="1:5" ht="12.75">
      <c r="A958" s="4" t="s">
        <v>40</v>
      </c>
      <c r="B958" s="6" t="s">
        <v>41</v>
      </c>
      <c r="C958" s="6" t="s">
        <v>44</v>
      </c>
      <c r="D958" s="6">
        <f>1+3+9</f>
        <v>13</v>
      </c>
      <c r="E958" s="27">
        <f>69.08+569+1370</f>
        <v>2008.08</v>
      </c>
    </row>
    <row r="959" spans="1:5" ht="12.75">
      <c r="A959" s="4" t="s">
        <v>40</v>
      </c>
      <c r="B959" s="6" t="s">
        <v>52</v>
      </c>
      <c r="C959" s="6" t="s">
        <v>44</v>
      </c>
      <c r="D959" s="6">
        <v>1</v>
      </c>
      <c r="E959" s="27">
        <f>124.48</f>
        <v>124.48</v>
      </c>
    </row>
    <row r="960" spans="1:5" ht="12.75">
      <c r="A960" s="4" t="s">
        <v>40</v>
      </c>
      <c r="B960" s="6" t="s">
        <v>57</v>
      </c>
      <c r="C960" s="6" t="s">
        <v>44</v>
      </c>
      <c r="D960" s="6">
        <f>2+2</f>
        <v>4</v>
      </c>
      <c r="E960" s="27">
        <f>233.32+225</f>
        <v>458.32</v>
      </c>
    </row>
    <row r="961" spans="1:5" ht="12.75">
      <c r="A961" s="4" t="s">
        <v>40</v>
      </c>
      <c r="B961" s="6" t="s">
        <v>59</v>
      </c>
      <c r="C961" s="6" t="s">
        <v>44</v>
      </c>
      <c r="D961" s="6">
        <f>1+4+1</f>
        <v>6</v>
      </c>
      <c r="E961" s="27">
        <f>69.08+522.73+124.48</f>
        <v>716.2900000000001</v>
      </c>
    </row>
    <row r="962" spans="1:5" ht="12.75">
      <c r="A962" s="4" t="s">
        <v>40</v>
      </c>
      <c r="B962" s="6" t="s">
        <v>61</v>
      </c>
      <c r="C962" s="6" t="s">
        <v>44</v>
      </c>
      <c r="D962" s="6">
        <f>2+2+1+2+3+1+4</f>
        <v>15</v>
      </c>
      <c r="E962" s="27">
        <f>480.14+662.99+124.36+918.07+231+538+441</f>
        <v>3395.56</v>
      </c>
    </row>
    <row r="963" spans="1:5" ht="12.75">
      <c r="A963" s="4" t="s">
        <v>40</v>
      </c>
      <c r="B963" s="6" t="s">
        <v>62</v>
      </c>
      <c r="C963" s="6" t="s">
        <v>44</v>
      </c>
      <c r="D963" s="6">
        <f>1+2+1</f>
        <v>4</v>
      </c>
      <c r="E963" s="27">
        <f>116.66+153+111</f>
        <v>380.65999999999997</v>
      </c>
    </row>
    <row r="964" spans="1:5" ht="12.75">
      <c r="A964" s="4" t="s">
        <v>40</v>
      </c>
      <c r="B964" s="6" t="s">
        <v>66</v>
      </c>
      <c r="C964" s="6" t="s">
        <v>44</v>
      </c>
      <c r="D964" s="6">
        <f>1+1</f>
        <v>2</v>
      </c>
      <c r="E964" s="27">
        <f>111+113</f>
        <v>224</v>
      </c>
    </row>
    <row r="965" spans="1:5" ht="12.75">
      <c r="A965" s="4" t="s">
        <v>40</v>
      </c>
      <c r="B965" s="6" t="s">
        <v>68</v>
      </c>
      <c r="C965" s="6" t="s">
        <v>44</v>
      </c>
      <c r="D965" s="6">
        <f>1</f>
        <v>1</v>
      </c>
      <c r="E965" s="27">
        <f>124.36</f>
        <v>124.36</v>
      </c>
    </row>
    <row r="966" spans="1:5" ht="12.75">
      <c r="A966" s="4" t="s">
        <v>40</v>
      </c>
      <c r="B966" s="6" t="s">
        <v>70</v>
      </c>
      <c r="C966" s="6" t="s">
        <v>44</v>
      </c>
      <c r="D966" s="6">
        <f>1</f>
        <v>1</v>
      </c>
      <c r="E966" s="27">
        <f>124.36</f>
        <v>124.36</v>
      </c>
    </row>
    <row r="967" spans="1:5" ht="12.75">
      <c r="A967" s="4" t="s">
        <v>40</v>
      </c>
      <c r="B967" s="6" t="s">
        <v>71</v>
      </c>
      <c r="C967" s="6" t="s">
        <v>44</v>
      </c>
      <c r="D967" s="6">
        <f>1+1</f>
        <v>2</v>
      </c>
      <c r="E967" s="30">
        <f>459.33+111</f>
        <v>570.3299999999999</v>
      </c>
    </row>
    <row r="968" spans="1:5" ht="12.75">
      <c r="A968" s="4" t="s">
        <v>40</v>
      </c>
      <c r="B968" s="6" t="s">
        <v>73</v>
      </c>
      <c r="C968" s="6" t="s">
        <v>44</v>
      </c>
      <c r="D968" s="6">
        <f>1+2</f>
        <v>3</v>
      </c>
      <c r="E968" s="30">
        <f>78+153</f>
        <v>231</v>
      </c>
    </row>
    <row r="969" spans="1:5" ht="12.75">
      <c r="A969" s="4" t="s">
        <v>40</v>
      </c>
      <c r="B969" s="6" t="s">
        <v>74</v>
      </c>
      <c r="C969" s="6" t="s">
        <v>44</v>
      </c>
      <c r="D969" s="6">
        <f>2</f>
        <v>2</v>
      </c>
      <c r="E969" s="27">
        <f>225</f>
        <v>225</v>
      </c>
    </row>
    <row r="970" spans="1:5" ht="12.75">
      <c r="A970" s="4" t="s">
        <v>40</v>
      </c>
      <c r="B970" s="6" t="s">
        <v>75</v>
      </c>
      <c r="C970" s="6" t="s">
        <v>44</v>
      </c>
      <c r="D970" s="6">
        <f>1+1</f>
        <v>2</v>
      </c>
      <c r="E970" s="27">
        <f>73.45+116.66</f>
        <v>190.11</v>
      </c>
    </row>
    <row r="971" spans="1:5" ht="12.75">
      <c r="A971" s="4" t="s">
        <v>40</v>
      </c>
      <c r="B971" s="6" t="s">
        <v>78</v>
      </c>
      <c r="C971" s="6" t="s">
        <v>44</v>
      </c>
      <c r="D971" s="6">
        <f>4+2+4+1+2+2+1+2</f>
        <v>18</v>
      </c>
      <c r="E971" s="27">
        <f>277+147.25+509.48+116.66+248.95+494+450+225</f>
        <v>2468.34</v>
      </c>
    </row>
    <row r="972" spans="1:5" ht="12.75">
      <c r="A972" s="4" t="s">
        <v>40</v>
      </c>
      <c r="B972" s="6" t="s">
        <v>79</v>
      </c>
      <c r="C972" s="6" t="s">
        <v>44</v>
      </c>
      <c r="D972" s="6">
        <f>1+1+2+2</f>
        <v>6</v>
      </c>
      <c r="E972" s="27">
        <f>69.08+73.45+248.71+1770</f>
        <v>2161.24</v>
      </c>
    </row>
    <row r="973" spans="1:5" ht="12.75">
      <c r="A973" s="4" t="s">
        <v>40</v>
      </c>
      <c r="B973" s="6" t="s">
        <v>81</v>
      </c>
      <c r="C973" s="6" t="s">
        <v>44</v>
      </c>
      <c r="D973" s="6">
        <f>1</f>
        <v>1</v>
      </c>
      <c r="E973" s="27">
        <f>73.45</f>
        <v>73.45</v>
      </c>
    </row>
    <row r="974" spans="1:5" ht="12.75">
      <c r="A974" s="4" t="s">
        <v>40</v>
      </c>
      <c r="B974" s="6" t="s">
        <v>80</v>
      </c>
      <c r="C974" s="6" t="s">
        <v>44</v>
      </c>
      <c r="D974" s="6">
        <f>4+2+1+2+3+4+1</f>
        <v>17</v>
      </c>
      <c r="E974" s="27">
        <f>277+248.95+124.48+248.71+373.1+272+450</f>
        <v>1994.2400000000002</v>
      </c>
    </row>
    <row r="975" spans="1:5" ht="12.75">
      <c r="A975" s="4" t="s">
        <v>83</v>
      </c>
      <c r="B975" s="6" t="s">
        <v>84</v>
      </c>
      <c r="C975" s="6" t="s">
        <v>44</v>
      </c>
      <c r="D975" s="6">
        <f>3+1+1+3+3</f>
        <v>11</v>
      </c>
      <c r="E975" s="27">
        <f>220.69+73.45+116.66+373.1+231</f>
        <v>1014.9</v>
      </c>
    </row>
    <row r="976" spans="1:5" ht="12.75">
      <c r="A976" s="4" t="s">
        <v>83</v>
      </c>
      <c r="B976" s="6" t="s">
        <v>86</v>
      </c>
      <c r="C976" s="6" t="s">
        <v>44</v>
      </c>
      <c r="D976" s="6">
        <f>1</f>
        <v>1</v>
      </c>
      <c r="E976" s="27">
        <f>124.36</f>
        <v>124.36</v>
      </c>
    </row>
    <row r="977" spans="1:5" ht="12.75">
      <c r="A977" s="40" t="s">
        <v>83</v>
      </c>
      <c r="B977" s="6" t="s">
        <v>87</v>
      </c>
      <c r="C977" s="6" t="s">
        <v>44</v>
      </c>
      <c r="D977" s="6">
        <f>1+3+1+1+2+2</f>
        <v>10</v>
      </c>
      <c r="E977" s="27">
        <f>69.08+220.69+124.48+124.36+583.59+221</f>
        <v>1343.2</v>
      </c>
    </row>
    <row r="978" spans="1:5" ht="12.75">
      <c r="A978" s="40" t="s">
        <v>83</v>
      </c>
      <c r="B978" s="6" t="s">
        <v>89</v>
      </c>
      <c r="C978" s="6" t="s">
        <v>44</v>
      </c>
      <c r="D978" s="6">
        <f>3+1</f>
        <v>4</v>
      </c>
      <c r="E978" s="27">
        <f>2302+113</f>
        <v>2415</v>
      </c>
    </row>
    <row r="979" spans="1:5" ht="12.75">
      <c r="A979" s="40" t="s">
        <v>83</v>
      </c>
      <c r="B979" s="6" t="s">
        <v>91</v>
      </c>
      <c r="C979" s="6" t="s">
        <v>44</v>
      </c>
      <c r="D979" s="6">
        <f>1+2+2+1</f>
        <v>6</v>
      </c>
      <c r="E979" s="27">
        <f>73.45+248.71+153+111</f>
        <v>586.1600000000001</v>
      </c>
    </row>
    <row r="980" spans="1:5" ht="12.75">
      <c r="A980" s="4" t="s">
        <v>83</v>
      </c>
      <c r="B980" s="6" t="s">
        <v>41</v>
      </c>
      <c r="C980" s="6" t="s">
        <v>44</v>
      </c>
      <c r="D980" s="6">
        <f>1+6+1+1+1</f>
        <v>10</v>
      </c>
      <c r="E980" s="27">
        <f>73.45+871.05+116.66+124.48+78</f>
        <v>1263.64</v>
      </c>
    </row>
    <row r="981" spans="1:5" ht="12.75">
      <c r="A981" s="4" t="s">
        <v>83</v>
      </c>
      <c r="B981" s="6" t="s">
        <v>52</v>
      </c>
      <c r="C981" s="6" t="s">
        <v>44</v>
      </c>
      <c r="D981" s="6">
        <f>2+1+1+1</f>
        <v>5</v>
      </c>
      <c r="E981" s="27">
        <f>138.5+73.45+416+341</f>
        <v>968.95</v>
      </c>
    </row>
    <row r="982" spans="1:5" ht="12.75">
      <c r="A982" s="4" t="s">
        <v>83</v>
      </c>
      <c r="B982" s="6" t="s">
        <v>54</v>
      </c>
      <c r="C982" s="6" t="s">
        <v>44</v>
      </c>
      <c r="D982" s="6">
        <f>1+1</f>
        <v>2</v>
      </c>
      <c r="E982" s="27">
        <f>116.66+336</f>
        <v>452.65999999999997</v>
      </c>
    </row>
    <row r="983" spans="1:5" ht="12.75">
      <c r="A983" s="4" t="s">
        <v>92</v>
      </c>
      <c r="B983" s="6" t="s">
        <v>93</v>
      </c>
      <c r="C983" s="6" t="s">
        <v>44</v>
      </c>
      <c r="D983" s="6">
        <f>1+2</f>
        <v>3</v>
      </c>
      <c r="E983" s="27">
        <f>116.66+153</f>
        <v>269.65999999999997</v>
      </c>
    </row>
    <row r="984" spans="1:5" ht="12.75">
      <c r="A984" s="4" t="s">
        <v>92</v>
      </c>
      <c r="B984" s="6" t="s">
        <v>94</v>
      </c>
      <c r="C984" s="6" t="s">
        <v>44</v>
      </c>
      <c r="D984" s="6">
        <f>1+1</f>
        <v>2</v>
      </c>
      <c r="E984" s="27">
        <f>78+1320</f>
        <v>1398</v>
      </c>
    </row>
    <row r="985" spans="1:5" ht="12.75">
      <c r="A985" s="4" t="s">
        <v>99</v>
      </c>
      <c r="B985" s="6" t="s">
        <v>93</v>
      </c>
      <c r="C985" s="6" t="s">
        <v>44</v>
      </c>
      <c r="D985" s="6">
        <f>1+1</f>
        <v>2</v>
      </c>
      <c r="E985" s="27">
        <f>73.45+124.36</f>
        <v>197.81</v>
      </c>
    </row>
    <row r="986" spans="1:5" ht="12.75">
      <c r="A986" s="4" t="s">
        <v>99</v>
      </c>
      <c r="B986" s="6" t="s">
        <v>95</v>
      </c>
      <c r="C986" s="6" t="s">
        <v>44</v>
      </c>
      <c r="D986" s="6">
        <f>2+1+1+1+3+3</f>
        <v>11</v>
      </c>
      <c r="E986" s="27">
        <f>375.49+73.45+116.66+459.33+231+333</f>
        <v>1588.93</v>
      </c>
    </row>
    <row r="987" spans="1:5" ht="12.75">
      <c r="A987" s="4" t="s">
        <v>99</v>
      </c>
      <c r="B987" s="6" t="s">
        <v>103</v>
      </c>
      <c r="C987" s="6" t="s">
        <v>44</v>
      </c>
      <c r="D987" s="6">
        <f>1+3+3</f>
        <v>7</v>
      </c>
      <c r="E987" s="27">
        <f>73.45+447+333</f>
        <v>853.45</v>
      </c>
    </row>
    <row r="988" spans="1:5" ht="12.75">
      <c r="A988" s="4" t="s">
        <v>99</v>
      </c>
      <c r="B988" s="6" t="s">
        <v>96</v>
      </c>
      <c r="C988" s="6" t="s">
        <v>44</v>
      </c>
      <c r="D988" s="6">
        <f>6+5+2+1+1+1+1+1</f>
        <v>18</v>
      </c>
      <c r="E988" s="27">
        <f>415.18+367.93+147.25+116.66+124.36+124.36+78+111</f>
        <v>1484.7399999999998</v>
      </c>
    </row>
    <row r="989" spans="1:5" ht="12.75">
      <c r="A989" s="4" t="s">
        <v>99</v>
      </c>
      <c r="B989" s="6" t="s">
        <v>106</v>
      </c>
      <c r="C989" s="6" t="s">
        <v>44</v>
      </c>
      <c r="D989" s="6">
        <f>1+3+1+1+1+2</f>
        <v>9</v>
      </c>
      <c r="E989" s="27">
        <f>69.08+677.56+73.45+116.66+78+153</f>
        <v>1167.75</v>
      </c>
    </row>
    <row r="990" spans="1:5" ht="12.75">
      <c r="A990" s="4" t="s">
        <v>99</v>
      </c>
      <c r="B990" s="6" t="s">
        <v>107</v>
      </c>
      <c r="C990" s="6" t="s">
        <v>44</v>
      </c>
      <c r="D990" s="6">
        <f>2+2+1+3+2+1</f>
        <v>11</v>
      </c>
      <c r="E990" s="27">
        <f>138.5+248.71+124.36+231+153+113</f>
        <v>1008.57</v>
      </c>
    </row>
    <row r="991" spans="1:5" ht="12.75">
      <c r="A991" s="4" t="s">
        <v>99</v>
      </c>
      <c r="B991" s="6" t="s">
        <v>108</v>
      </c>
      <c r="C991" s="6" t="s">
        <v>44</v>
      </c>
      <c r="D991" s="6">
        <f>2+1+1+4+2+2+2+2</f>
        <v>16</v>
      </c>
      <c r="E991" s="27">
        <f>138.5+301.7+116.66+832.79+583.59+854+221+225</f>
        <v>3273.2400000000002</v>
      </c>
    </row>
    <row r="992" spans="1:5" ht="12.75">
      <c r="A992" s="4" t="s">
        <v>99</v>
      </c>
      <c r="B992" s="6" t="s">
        <v>110</v>
      </c>
      <c r="C992" s="6" t="s">
        <v>44</v>
      </c>
      <c r="D992" s="6">
        <f>2+1+5</f>
        <v>8</v>
      </c>
      <c r="E992" s="27">
        <f>138.5+116.66+552</f>
        <v>807.16</v>
      </c>
    </row>
    <row r="993" spans="1:5" ht="12.75">
      <c r="A993" s="4" t="s">
        <v>99</v>
      </c>
      <c r="B993" s="6" t="s">
        <v>112</v>
      </c>
      <c r="C993" s="6" t="s">
        <v>44</v>
      </c>
      <c r="D993" s="6">
        <f>1+1+4+1+2+1</f>
        <v>10</v>
      </c>
      <c r="E993" s="27">
        <f>73.45+116.66+737.53+78+153+111</f>
        <v>1269.6399999999999</v>
      </c>
    </row>
    <row r="994" spans="1:5" ht="12.75">
      <c r="A994" s="4" t="s">
        <v>99</v>
      </c>
      <c r="B994" s="6" t="s">
        <v>116</v>
      </c>
      <c r="C994" s="6" t="s">
        <v>44</v>
      </c>
      <c r="D994" s="6">
        <f>1+1+1+1</f>
        <v>4</v>
      </c>
      <c r="E994" s="27">
        <f>124.48+124.36+78+113</f>
        <v>439.84000000000003</v>
      </c>
    </row>
    <row r="995" spans="1:5" ht="12.75">
      <c r="A995" s="4" t="s">
        <v>99</v>
      </c>
      <c r="B995" s="6" t="s">
        <v>117</v>
      </c>
      <c r="C995" s="6" t="s">
        <v>44</v>
      </c>
      <c r="D995" s="6">
        <f>1+3+1</f>
        <v>5</v>
      </c>
      <c r="E995" s="27">
        <f>69.08+333+113</f>
        <v>515.0799999999999</v>
      </c>
    </row>
    <row r="996" spans="1:5" ht="12.75">
      <c r="A996" s="4" t="s">
        <v>99</v>
      </c>
      <c r="B996" s="6" t="s">
        <v>118</v>
      </c>
      <c r="C996" s="6" t="s">
        <v>44</v>
      </c>
      <c r="D996" s="6">
        <f>4+3+1+2+1+6</f>
        <v>17</v>
      </c>
      <c r="E996" s="27">
        <f>277+448.94+124.36+153+1320+709</f>
        <v>3032.3</v>
      </c>
    </row>
    <row r="997" spans="1:5" ht="12.75">
      <c r="A997" s="4" t="s">
        <v>99</v>
      </c>
      <c r="B997" s="6" t="s">
        <v>120</v>
      </c>
      <c r="C997" s="6" t="s">
        <v>44</v>
      </c>
      <c r="D997" s="6">
        <f>1+2+1+1+3</f>
        <v>8</v>
      </c>
      <c r="E997" s="27">
        <f>73.45+147.25+124.48+646+449</f>
        <v>1440.18</v>
      </c>
    </row>
    <row r="998" spans="1:5" ht="12.75">
      <c r="A998" s="4" t="s">
        <v>99</v>
      </c>
      <c r="B998" s="6" t="s">
        <v>123</v>
      </c>
      <c r="C998" s="6" t="s">
        <v>44</v>
      </c>
      <c r="D998" s="6">
        <v>1</v>
      </c>
      <c r="E998" s="27">
        <f>459.2</f>
        <v>459.2</v>
      </c>
    </row>
    <row r="999" spans="1:5" ht="12.75">
      <c r="A999" s="4" t="s">
        <v>125</v>
      </c>
      <c r="B999" s="6" t="s">
        <v>93</v>
      </c>
      <c r="C999" s="6" t="s">
        <v>44</v>
      </c>
      <c r="D999" s="6">
        <f>1+1</f>
        <v>2</v>
      </c>
      <c r="E999" s="27">
        <f>78+113</f>
        <v>191</v>
      </c>
    </row>
    <row r="1000" spans="1:5" ht="12.75">
      <c r="A1000" s="4" t="s">
        <v>125</v>
      </c>
      <c r="B1000" s="6" t="s">
        <v>121</v>
      </c>
      <c r="C1000" s="6" t="s">
        <v>44</v>
      </c>
      <c r="D1000" s="6">
        <f>2+1+1+1+1+2+1</f>
        <v>9</v>
      </c>
      <c r="E1000" s="27">
        <f>138.5+191.5+73.45+116.66+124.48+533.35+111</f>
        <v>1288.94</v>
      </c>
    </row>
    <row r="1001" spans="1:5" ht="12.75">
      <c r="A1001" s="4" t="s">
        <v>129</v>
      </c>
      <c r="B1001" s="6" t="s">
        <v>130</v>
      </c>
      <c r="C1001" s="6" t="s">
        <v>44</v>
      </c>
      <c r="D1001" s="6">
        <f>5</f>
        <v>5</v>
      </c>
      <c r="E1001" s="27">
        <f>563</f>
        <v>563</v>
      </c>
    </row>
    <row r="1002" spans="1:5" ht="12.75">
      <c r="A1002" s="4" t="s">
        <v>129</v>
      </c>
      <c r="B1002" s="6" t="s">
        <v>84</v>
      </c>
      <c r="C1002" s="6" t="s">
        <v>44</v>
      </c>
      <c r="D1002" s="6">
        <v>1</v>
      </c>
      <c r="E1002" s="27">
        <v>69.08</v>
      </c>
    </row>
    <row r="1003" spans="1:5" ht="12.75">
      <c r="A1003" s="4" t="s">
        <v>129</v>
      </c>
      <c r="B1003" s="6" t="s">
        <v>131</v>
      </c>
      <c r="C1003" s="6" t="s">
        <v>44</v>
      </c>
      <c r="D1003" s="6">
        <f>3+1+2</f>
        <v>6</v>
      </c>
      <c r="E1003" s="27">
        <f>707.94+78+438</f>
        <v>1223.94</v>
      </c>
    </row>
    <row r="1004" spans="1:5" ht="12.75">
      <c r="A1004" s="4" t="s">
        <v>129</v>
      </c>
      <c r="B1004" s="6" t="s">
        <v>132</v>
      </c>
      <c r="C1004" s="6" t="s">
        <v>44</v>
      </c>
      <c r="D1004" s="6">
        <f>1+1+1</f>
        <v>3</v>
      </c>
      <c r="E1004" s="27">
        <f>124.48+111+113</f>
        <v>348.48</v>
      </c>
    </row>
    <row r="1005" spans="1:5" ht="12.75">
      <c r="A1005" s="4" t="s">
        <v>129</v>
      </c>
      <c r="B1005" s="6" t="s">
        <v>87</v>
      </c>
      <c r="C1005" s="6" t="s">
        <v>44</v>
      </c>
      <c r="D1005" s="6">
        <f>3+1+1+1</f>
        <v>6</v>
      </c>
      <c r="E1005" s="27">
        <f>309.33+73.45+124.48+111</f>
        <v>618.26</v>
      </c>
    </row>
    <row r="1006" spans="1:5" ht="12.75">
      <c r="A1006" s="4" t="s">
        <v>129</v>
      </c>
      <c r="B1006" s="6" t="s">
        <v>88</v>
      </c>
      <c r="C1006" s="6" t="s">
        <v>44</v>
      </c>
      <c r="D1006" s="6">
        <f>1+1</f>
        <v>2</v>
      </c>
      <c r="E1006" s="27">
        <f>69.08+113</f>
        <v>182.07999999999998</v>
      </c>
    </row>
    <row r="1007" spans="1:5" ht="12.75">
      <c r="A1007" s="4" t="s">
        <v>129</v>
      </c>
      <c r="B1007" s="6" t="s">
        <v>134</v>
      </c>
      <c r="C1007" s="6" t="s">
        <v>44</v>
      </c>
      <c r="D1007" s="6">
        <f>1+1+1+1</f>
        <v>4</v>
      </c>
      <c r="E1007" s="27">
        <f>73.45+124.36+124.36+111</f>
        <v>433.17</v>
      </c>
    </row>
    <row r="1008" spans="1:5" ht="12.75">
      <c r="A1008" s="4" t="s">
        <v>129</v>
      </c>
      <c r="B1008" s="6" t="s">
        <v>89</v>
      </c>
      <c r="C1008" s="6" t="s">
        <v>44</v>
      </c>
      <c r="D1008" s="6">
        <f>1+1</f>
        <v>2</v>
      </c>
      <c r="E1008" s="27">
        <f>124.36+78</f>
        <v>202.36</v>
      </c>
    </row>
    <row r="1009" spans="1:5" ht="12.75">
      <c r="A1009" s="4" t="s">
        <v>129</v>
      </c>
      <c r="B1009" s="6" t="s">
        <v>136</v>
      </c>
      <c r="C1009" s="6" t="s">
        <v>44</v>
      </c>
      <c r="D1009" s="6">
        <f>1+3+3</f>
        <v>7</v>
      </c>
      <c r="E1009" s="27">
        <f>69.08+220.69+339</f>
        <v>628.77</v>
      </c>
    </row>
    <row r="1010" spans="1:5" ht="12.75">
      <c r="A1010" s="4" t="s">
        <v>129</v>
      </c>
      <c r="B1010" s="6" t="s">
        <v>91</v>
      </c>
      <c r="C1010" s="6" t="s">
        <v>44</v>
      </c>
      <c r="D1010" s="6">
        <f>3</f>
        <v>3</v>
      </c>
      <c r="E1010" s="27">
        <f>207.58</f>
        <v>207.58</v>
      </c>
    </row>
    <row r="1011" spans="1:5" ht="12.75">
      <c r="A1011" s="4" t="s">
        <v>140</v>
      </c>
      <c r="B1011" s="6" t="s">
        <v>96</v>
      </c>
      <c r="C1011" s="6" t="s">
        <v>44</v>
      </c>
      <c r="D1011" s="6">
        <f>1+2+1</f>
        <v>4</v>
      </c>
      <c r="E1011" s="27">
        <f>73.45+362.25+78</f>
        <v>513.7</v>
      </c>
    </row>
    <row r="1012" spans="1:5" ht="12.75">
      <c r="A1012" s="4" t="s">
        <v>140</v>
      </c>
      <c r="B1012" s="6" t="s">
        <v>106</v>
      </c>
      <c r="C1012" s="6" t="s">
        <v>44</v>
      </c>
      <c r="D1012" s="6">
        <f>2+1</f>
        <v>3</v>
      </c>
      <c r="E1012" s="27">
        <f>138.5+113</f>
        <v>251.5</v>
      </c>
    </row>
    <row r="1013" spans="1:5" ht="12.75" hidden="1">
      <c r="A1013" s="4" t="s">
        <v>140</v>
      </c>
      <c r="B1013" s="6" t="s">
        <v>107</v>
      </c>
      <c r="C1013" s="6" t="s">
        <v>44</v>
      </c>
      <c r="D1013" s="6"/>
      <c r="E1013" s="27"/>
    </row>
    <row r="1014" spans="1:5" ht="12.75">
      <c r="A1014" s="4" t="s">
        <v>140</v>
      </c>
      <c r="B1014" s="6" t="s">
        <v>108</v>
      </c>
      <c r="C1014" s="6" t="s">
        <v>44</v>
      </c>
      <c r="D1014" s="6">
        <f>1+6+10+3</f>
        <v>20</v>
      </c>
      <c r="E1014" s="27">
        <f>124.36+685+1481+333</f>
        <v>2623.36</v>
      </c>
    </row>
    <row r="1015" spans="1:5" ht="12.75">
      <c r="A1015" s="4" t="s">
        <v>143</v>
      </c>
      <c r="B1015" s="6" t="s">
        <v>93</v>
      </c>
      <c r="C1015" s="6" t="s">
        <v>44</v>
      </c>
      <c r="D1015" s="6">
        <f>2</f>
        <v>2</v>
      </c>
      <c r="E1015" s="27">
        <f>153</f>
        <v>153</v>
      </c>
    </row>
    <row r="1016" spans="1:5" ht="12.75">
      <c r="A1016" s="4" t="s">
        <v>143</v>
      </c>
      <c r="B1016" s="6" t="s">
        <v>96</v>
      </c>
      <c r="C1016" s="6" t="s">
        <v>44</v>
      </c>
      <c r="D1016" s="6">
        <v>1</v>
      </c>
      <c r="E1016" s="27">
        <v>116.66</v>
      </c>
    </row>
    <row r="1017" spans="1:5" ht="12.75" hidden="1">
      <c r="A1017" s="4" t="s">
        <v>143</v>
      </c>
      <c r="B1017" s="6" t="s">
        <v>106</v>
      </c>
      <c r="C1017" s="6" t="s">
        <v>44</v>
      </c>
      <c r="D1017" s="6"/>
      <c r="E1017" s="27"/>
    </row>
    <row r="1018" spans="1:5" ht="12.75">
      <c r="A1018" s="4" t="s">
        <v>143</v>
      </c>
      <c r="B1018" s="6" t="s">
        <v>107</v>
      </c>
      <c r="C1018" s="6" t="s">
        <v>44</v>
      </c>
      <c r="D1018" s="6">
        <f>1+1</f>
        <v>2</v>
      </c>
      <c r="E1018" s="27">
        <f>116.66+111</f>
        <v>227.66</v>
      </c>
    </row>
    <row r="1019" spans="1:5" ht="12.75" hidden="1">
      <c r="A1019" s="4" t="s">
        <v>143</v>
      </c>
      <c r="B1019" s="6" t="s">
        <v>108</v>
      </c>
      <c r="C1019" s="6" t="s">
        <v>44</v>
      </c>
      <c r="D1019" s="6"/>
      <c r="E1019" s="27"/>
    </row>
    <row r="1020" spans="1:5" ht="12.75">
      <c r="A1020" s="4" t="s">
        <v>143</v>
      </c>
      <c r="B1020" s="6" t="s">
        <v>112</v>
      </c>
      <c r="C1020" s="6" t="s">
        <v>44</v>
      </c>
      <c r="D1020" s="6">
        <f>1+2</f>
        <v>3</v>
      </c>
      <c r="E1020" s="27">
        <f>73.45+225</f>
        <v>298.45</v>
      </c>
    </row>
    <row r="1021" spans="1:5" ht="12.75" hidden="1">
      <c r="A1021" s="4"/>
      <c r="B1021" s="6"/>
      <c r="C1021" s="6"/>
      <c r="D1021" s="6"/>
      <c r="E1021" s="27"/>
    </row>
    <row r="1022" spans="1:5" ht="12.75" hidden="1">
      <c r="A1022" s="4"/>
      <c r="B1022" s="6"/>
      <c r="C1022" s="6"/>
      <c r="D1022" s="6"/>
      <c r="E1022" s="27"/>
    </row>
    <row r="1023" spans="1:5" ht="12.75" hidden="1">
      <c r="A1023" s="4"/>
      <c r="B1023" s="6"/>
      <c r="C1023" s="6"/>
      <c r="D1023" s="6"/>
      <c r="E1023" s="27"/>
    </row>
    <row r="1024" spans="1:5" ht="12.75">
      <c r="A1024" s="15" t="s">
        <v>145</v>
      </c>
      <c r="B1024" s="6"/>
      <c r="C1024" s="6"/>
      <c r="D1024" s="6"/>
      <c r="E1024" s="28">
        <f>SUM(E958:E1023)</f>
        <v>52985.23000000002</v>
      </c>
    </row>
    <row r="1025" spans="1:5" ht="12.75">
      <c r="A1025" s="45" t="s">
        <v>189</v>
      </c>
      <c r="B1025" s="46"/>
      <c r="C1025" s="46"/>
      <c r="D1025" s="46"/>
      <c r="E1025" s="47"/>
    </row>
    <row r="1026" spans="1:5" ht="12.75">
      <c r="A1026" s="4" t="s">
        <v>129</v>
      </c>
      <c r="B1026" s="6" t="s">
        <v>89</v>
      </c>
      <c r="C1026" s="6" t="s">
        <v>43</v>
      </c>
      <c r="D1026" s="6">
        <v>110</v>
      </c>
      <c r="E1026" s="27">
        <f>3402</f>
        <v>3402</v>
      </c>
    </row>
    <row r="1027" spans="1:5" ht="12.75" hidden="1">
      <c r="A1027" s="4"/>
      <c r="B1027" s="6"/>
      <c r="C1027" s="6"/>
      <c r="D1027" s="6"/>
      <c r="E1027" s="27"/>
    </row>
    <row r="1028" spans="1:5" ht="12.75" hidden="1">
      <c r="A1028" s="4"/>
      <c r="B1028" s="6"/>
      <c r="C1028" s="6"/>
      <c r="D1028" s="6"/>
      <c r="E1028" s="27"/>
    </row>
    <row r="1029" spans="1:5" ht="12.75" hidden="1">
      <c r="A1029" s="4"/>
      <c r="B1029" s="6"/>
      <c r="C1029" s="6"/>
      <c r="D1029" s="6"/>
      <c r="E1029" s="27"/>
    </row>
    <row r="1030" spans="1:5" ht="12.75">
      <c r="A1030" s="15" t="s">
        <v>145</v>
      </c>
      <c r="B1030" s="6"/>
      <c r="C1030" s="6"/>
      <c r="D1030" s="6"/>
      <c r="E1030" s="28">
        <f>SUM(E1026:E1029)</f>
        <v>3402</v>
      </c>
    </row>
    <row r="1031" spans="1:5" ht="12.75" hidden="1">
      <c r="A1031" s="45" t="s">
        <v>45</v>
      </c>
      <c r="B1031" s="46"/>
      <c r="C1031" s="46"/>
      <c r="D1031" s="46"/>
      <c r="E1031" s="47"/>
    </row>
    <row r="1032" spans="1:5" ht="12.75" hidden="1">
      <c r="A1032" s="4" t="s">
        <v>40</v>
      </c>
      <c r="B1032" s="6" t="s">
        <v>41</v>
      </c>
      <c r="C1032" s="6" t="s">
        <v>44</v>
      </c>
      <c r="D1032" s="6"/>
      <c r="E1032" s="27"/>
    </row>
    <row r="1033" spans="1:5" ht="12.75" hidden="1">
      <c r="A1033" s="4" t="s">
        <v>99</v>
      </c>
      <c r="B1033" s="6" t="s">
        <v>107</v>
      </c>
      <c r="C1033" s="6" t="s">
        <v>44</v>
      </c>
      <c r="D1033" s="6"/>
      <c r="E1033" s="27"/>
    </row>
    <row r="1034" spans="1:5" ht="12.75" hidden="1">
      <c r="A1034" s="4" t="s">
        <v>140</v>
      </c>
      <c r="B1034" s="6" t="s">
        <v>96</v>
      </c>
      <c r="C1034" s="6" t="s">
        <v>44</v>
      </c>
      <c r="D1034" s="6"/>
      <c r="E1034" s="27"/>
    </row>
    <row r="1035" spans="1:5" ht="12.75" hidden="1">
      <c r="A1035" s="4"/>
      <c r="B1035" s="6"/>
      <c r="C1035" s="6"/>
      <c r="D1035" s="6"/>
      <c r="E1035" s="27"/>
    </row>
    <row r="1036" spans="1:5" ht="12.75" hidden="1">
      <c r="A1036" s="15" t="s">
        <v>145</v>
      </c>
      <c r="B1036" s="6"/>
      <c r="C1036" s="6"/>
      <c r="D1036" s="6"/>
      <c r="E1036" s="28">
        <f>SUM(E1032:E1035)</f>
        <v>0</v>
      </c>
    </row>
    <row r="1037" spans="1:5" ht="12.75">
      <c r="A1037" s="45" t="s">
        <v>38</v>
      </c>
      <c r="B1037" s="46"/>
      <c r="C1037" s="46"/>
      <c r="D1037" s="46"/>
      <c r="E1037" s="47"/>
    </row>
    <row r="1038" spans="1:5" ht="12.75">
      <c r="A1038" s="11" t="s">
        <v>142</v>
      </c>
      <c r="B1038" s="10" t="s">
        <v>101</v>
      </c>
      <c r="C1038" s="10" t="s">
        <v>44</v>
      </c>
      <c r="D1038" s="10">
        <f>1</f>
        <v>1</v>
      </c>
      <c r="E1038" s="36">
        <f>23439.24</f>
        <v>23439.24</v>
      </c>
    </row>
    <row r="1039" spans="1:5" ht="12.75">
      <c r="A1039" s="11" t="s">
        <v>142</v>
      </c>
      <c r="B1039" s="6" t="s">
        <v>176</v>
      </c>
      <c r="C1039" s="6" t="s">
        <v>44</v>
      </c>
      <c r="D1039" s="10">
        <f>1</f>
        <v>1</v>
      </c>
      <c r="E1039" s="36">
        <f>23439.24</f>
        <v>23439.24</v>
      </c>
    </row>
    <row r="1040" spans="1:5" ht="12.75">
      <c r="A1040" s="11" t="s">
        <v>142</v>
      </c>
      <c r="B1040" s="6" t="s">
        <v>105</v>
      </c>
      <c r="C1040" s="6" t="s">
        <v>44</v>
      </c>
      <c r="D1040" s="10">
        <f>1</f>
        <v>1</v>
      </c>
      <c r="E1040" s="36">
        <f>23439.24</f>
        <v>23439.24</v>
      </c>
    </row>
    <row r="1041" spans="1:5" ht="12.75">
      <c r="A1041" s="11" t="s">
        <v>142</v>
      </c>
      <c r="B1041" s="6" t="s">
        <v>154</v>
      </c>
      <c r="C1041" s="6" t="s">
        <v>44</v>
      </c>
      <c r="D1041" s="10">
        <f>1</f>
        <v>1</v>
      </c>
      <c r="E1041" s="36">
        <f>23439.24</f>
        <v>23439.24</v>
      </c>
    </row>
    <row r="1042" spans="1:5" ht="12.75">
      <c r="A1042" s="11" t="s">
        <v>142</v>
      </c>
      <c r="B1042" s="6" t="s">
        <v>109</v>
      </c>
      <c r="C1042" s="6" t="s">
        <v>44</v>
      </c>
      <c r="D1042" s="10">
        <f>1</f>
        <v>1</v>
      </c>
      <c r="E1042" s="36">
        <f>23439.24</f>
        <v>23439.24</v>
      </c>
    </row>
    <row r="1043" spans="1:5" ht="12.75">
      <c r="A1043" s="11" t="s">
        <v>142</v>
      </c>
      <c r="B1043" s="6" t="s">
        <v>113</v>
      </c>
      <c r="C1043" s="6" t="s">
        <v>44</v>
      </c>
      <c r="D1043" s="10">
        <f>1</f>
        <v>1</v>
      </c>
      <c r="E1043" s="36">
        <f>23563.59</f>
        <v>23563.59</v>
      </c>
    </row>
    <row r="1044" spans="1:5" ht="12.75">
      <c r="A1044" s="11" t="s">
        <v>142</v>
      </c>
      <c r="B1044" s="6" t="s">
        <v>122</v>
      </c>
      <c r="C1044" s="6" t="s">
        <v>44</v>
      </c>
      <c r="D1044" s="10">
        <f>1</f>
        <v>1</v>
      </c>
      <c r="E1044" s="36">
        <f>23773.72</f>
        <v>23773.72</v>
      </c>
    </row>
    <row r="1045" spans="1:5" ht="12.75">
      <c r="A1045" s="4" t="s">
        <v>99</v>
      </c>
      <c r="B1045" s="6" t="s">
        <v>114</v>
      </c>
      <c r="C1045" s="6" t="s">
        <v>44</v>
      </c>
      <c r="D1045" s="10">
        <f>1</f>
        <v>1</v>
      </c>
      <c r="E1045" s="36">
        <v>12421</v>
      </c>
    </row>
    <row r="1046" spans="1:5" ht="12.75">
      <c r="A1046" s="4" t="s">
        <v>125</v>
      </c>
      <c r="B1046" s="6" t="s">
        <v>168</v>
      </c>
      <c r="C1046" s="6" t="s">
        <v>44</v>
      </c>
      <c r="D1046" s="10">
        <f>1</f>
        <v>1</v>
      </c>
      <c r="E1046" s="36">
        <f aca="true" t="shared" si="0" ref="E1046:E1061">23439.24</f>
        <v>23439.24</v>
      </c>
    </row>
    <row r="1047" spans="1:5" ht="12.75">
      <c r="A1047" s="4" t="s">
        <v>125</v>
      </c>
      <c r="B1047" s="6" t="s">
        <v>177</v>
      </c>
      <c r="C1047" s="6" t="s">
        <v>44</v>
      </c>
      <c r="D1047" s="10">
        <f>1</f>
        <v>1</v>
      </c>
      <c r="E1047" s="36">
        <f t="shared" si="0"/>
        <v>23439.24</v>
      </c>
    </row>
    <row r="1048" spans="1:5" ht="12.75">
      <c r="A1048" s="4" t="s">
        <v>48</v>
      </c>
      <c r="B1048" s="6" t="s">
        <v>52</v>
      </c>
      <c r="C1048" s="6" t="s">
        <v>44</v>
      </c>
      <c r="D1048" s="10">
        <f>1</f>
        <v>1</v>
      </c>
      <c r="E1048" s="36">
        <f t="shared" si="0"/>
        <v>23439.24</v>
      </c>
    </row>
    <row r="1049" spans="1:5" ht="12.75">
      <c r="A1049" s="4" t="s">
        <v>48</v>
      </c>
      <c r="B1049" s="6" t="s">
        <v>54</v>
      </c>
      <c r="C1049" s="6" t="s">
        <v>44</v>
      </c>
      <c r="D1049" s="10">
        <f>1</f>
        <v>1</v>
      </c>
      <c r="E1049" s="36">
        <f t="shared" si="0"/>
        <v>23439.24</v>
      </c>
    </row>
    <row r="1050" spans="1:5" ht="12.75">
      <c r="A1050" s="4" t="s">
        <v>48</v>
      </c>
      <c r="B1050" s="6" t="s">
        <v>55</v>
      </c>
      <c r="C1050" s="6" t="s">
        <v>44</v>
      </c>
      <c r="D1050" s="10">
        <f>1</f>
        <v>1</v>
      </c>
      <c r="E1050" s="36">
        <f t="shared" si="0"/>
        <v>23439.24</v>
      </c>
    </row>
    <row r="1051" spans="1:5" ht="12.75">
      <c r="A1051" s="4" t="s">
        <v>48</v>
      </c>
      <c r="B1051" s="6" t="s">
        <v>71</v>
      </c>
      <c r="C1051" s="6" t="s">
        <v>44</v>
      </c>
      <c r="D1051" s="10">
        <f>1</f>
        <v>1</v>
      </c>
      <c r="E1051" s="36">
        <f t="shared" si="0"/>
        <v>23439.24</v>
      </c>
    </row>
    <row r="1052" spans="1:5" ht="12.75">
      <c r="A1052" s="4" t="s">
        <v>48</v>
      </c>
      <c r="B1052" s="6" t="s">
        <v>72</v>
      </c>
      <c r="C1052" s="6" t="s">
        <v>44</v>
      </c>
      <c r="D1052" s="10">
        <f>1</f>
        <v>1</v>
      </c>
      <c r="E1052" s="36">
        <f t="shared" si="0"/>
        <v>23439.24</v>
      </c>
    </row>
    <row r="1053" spans="1:5" ht="12.75">
      <c r="A1053" s="4" t="s">
        <v>48</v>
      </c>
      <c r="B1053" s="6" t="s">
        <v>73</v>
      </c>
      <c r="C1053" s="6" t="s">
        <v>44</v>
      </c>
      <c r="D1053" s="10">
        <f>1</f>
        <v>1</v>
      </c>
      <c r="E1053" s="36">
        <f t="shared" si="0"/>
        <v>23439.24</v>
      </c>
    </row>
    <row r="1054" spans="1:5" ht="12.75">
      <c r="A1054" s="4" t="s">
        <v>48</v>
      </c>
      <c r="B1054" s="6" t="s">
        <v>74</v>
      </c>
      <c r="C1054" s="6" t="s">
        <v>44</v>
      </c>
      <c r="D1054" s="10">
        <f>1</f>
        <v>1</v>
      </c>
      <c r="E1054" s="36">
        <f t="shared" si="0"/>
        <v>23439.24</v>
      </c>
    </row>
    <row r="1055" spans="1:5" ht="12.75">
      <c r="A1055" s="4" t="s">
        <v>48</v>
      </c>
      <c r="B1055" s="6" t="s">
        <v>79</v>
      </c>
      <c r="C1055" s="6" t="s">
        <v>44</v>
      </c>
      <c r="D1055" s="10">
        <f>1</f>
        <v>1</v>
      </c>
      <c r="E1055" s="36">
        <f>17240</f>
        <v>17240</v>
      </c>
    </row>
    <row r="1056" spans="1:5" ht="12.75">
      <c r="A1056" s="4" t="s">
        <v>83</v>
      </c>
      <c r="B1056" s="6" t="s">
        <v>85</v>
      </c>
      <c r="C1056" s="6" t="s">
        <v>44</v>
      </c>
      <c r="D1056" s="10">
        <f>1</f>
        <v>1</v>
      </c>
      <c r="E1056" s="36">
        <f t="shared" si="0"/>
        <v>23439.24</v>
      </c>
    </row>
    <row r="1057" spans="1:5" ht="12.75">
      <c r="A1057" s="4" t="s">
        <v>83</v>
      </c>
      <c r="B1057" s="6" t="s">
        <v>86</v>
      </c>
      <c r="C1057" s="6" t="s">
        <v>44</v>
      </c>
      <c r="D1057" s="10">
        <f>1</f>
        <v>1</v>
      </c>
      <c r="E1057" s="36">
        <f t="shared" si="0"/>
        <v>23439.24</v>
      </c>
    </row>
    <row r="1058" spans="1:5" ht="12.75">
      <c r="A1058" s="4" t="s">
        <v>83</v>
      </c>
      <c r="B1058" s="6" t="s">
        <v>88</v>
      </c>
      <c r="C1058" s="6" t="s">
        <v>44</v>
      </c>
      <c r="D1058" s="10">
        <f>1</f>
        <v>1</v>
      </c>
      <c r="E1058" s="36">
        <f t="shared" si="0"/>
        <v>23439.24</v>
      </c>
    </row>
    <row r="1059" spans="1:5" ht="12.75">
      <c r="A1059" s="4" t="s">
        <v>83</v>
      </c>
      <c r="B1059" s="6" t="s">
        <v>89</v>
      </c>
      <c r="C1059" s="6" t="s">
        <v>44</v>
      </c>
      <c r="D1059" s="10">
        <f>1</f>
        <v>1</v>
      </c>
      <c r="E1059" s="36">
        <f t="shared" si="0"/>
        <v>23439.24</v>
      </c>
    </row>
    <row r="1060" spans="1:5" ht="12.75">
      <c r="A1060" s="4" t="s">
        <v>83</v>
      </c>
      <c r="B1060" s="6" t="s">
        <v>90</v>
      </c>
      <c r="C1060" s="6" t="s">
        <v>44</v>
      </c>
      <c r="D1060" s="10">
        <f>1</f>
        <v>1</v>
      </c>
      <c r="E1060" s="36">
        <f t="shared" si="0"/>
        <v>23439.24</v>
      </c>
    </row>
    <row r="1061" spans="1:5" ht="12.75">
      <c r="A1061" s="4" t="s">
        <v>83</v>
      </c>
      <c r="B1061" s="6" t="s">
        <v>91</v>
      </c>
      <c r="C1061" s="6" t="s">
        <v>44</v>
      </c>
      <c r="D1061" s="10">
        <f>1</f>
        <v>1</v>
      </c>
      <c r="E1061" s="36">
        <f t="shared" si="0"/>
        <v>23439.24</v>
      </c>
    </row>
    <row r="1062" spans="1:5" ht="12.75">
      <c r="A1062" s="4" t="s">
        <v>83</v>
      </c>
      <c r="B1062" s="6" t="s">
        <v>52</v>
      </c>
      <c r="C1062" s="6" t="s">
        <v>44</v>
      </c>
      <c r="D1062" s="10">
        <f>1</f>
        <v>1</v>
      </c>
      <c r="E1062" s="36">
        <f>22886</f>
        <v>22886</v>
      </c>
    </row>
    <row r="1063" spans="1:5" ht="12.75">
      <c r="A1063" s="4" t="s">
        <v>83</v>
      </c>
      <c r="B1063" s="6" t="s">
        <v>54</v>
      </c>
      <c r="C1063" s="6" t="s">
        <v>44</v>
      </c>
      <c r="D1063" s="10">
        <f>1</f>
        <v>1</v>
      </c>
      <c r="E1063" s="36">
        <f>9034</f>
        <v>9034</v>
      </c>
    </row>
    <row r="1064" spans="1:5" ht="12.75">
      <c r="A1064" s="4" t="s">
        <v>140</v>
      </c>
      <c r="B1064" s="6" t="s">
        <v>93</v>
      </c>
      <c r="C1064" s="6" t="s">
        <v>44</v>
      </c>
      <c r="D1064" s="10">
        <f>1</f>
        <v>1</v>
      </c>
      <c r="E1064" s="36">
        <f>23563.59</f>
        <v>23563.59</v>
      </c>
    </row>
    <row r="1065" spans="1:5" ht="12.75">
      <c r="A1065" s="4" t="s">
        <v>140</v>
      </c>
      <c r="B1065" s="6" t="s">
        <v>94</v>
      </c>
      <c r="C1065" s="6" t="s">
        <v>44</v>
      </c>
      <c r="D1065" s="10">
        <f>1</f>
        <v>1</v>
      </c>
      <c r="E1065" s="36">
        <f>23439.24</f>
        <v>23439.24</v>
      </c>
    </row>
    <row r="1066" spans="1:5" ht="12.75">
      <c r="A1066" s="4" t="s">
        <v>140</v>
      </c>
      <c r="B1066" s="6" t="s">
        <v>96</v>
      </c>
      <c r="C1066" s="6" t="s">
        <v>44</v>
      </c>
      <c r="D1066" s="10">
        <f>1</f>
        <v>1</v>
      </c>
      <c r="E1066" s="36">
        <f>23439.24</f>
        <v>23439.24</v>
      </c>
    </row>
    <row r="1067" spans="1:5" ht="12.75">
      <c r="A1067" s="4" t="s">
        <v>140</v>
      </c>
      <c r="B1067" s="6" t="s">
        <v>106</v>
      </c>
      <c r="C1067" s="6" t="s">
        <v>44</v>
      </c>
      <c r="D1067" s="10">
        <f>1</f>
        <v>1</v>
      </c>
      <c r="E1067" s="36">
        <f>13138</f>
        <v>13138</v>
      </c>
    </row>
    <row r="1068" spans="1:5" ht="12.75">
      <c r="A1068" s="4" t="s">
        <v>140</v>
      </c>
      <c r="B1068" s="6" t="s">
        <v>107</v>
      </c>
      <c r="C1068" s="6" t="s">
        <v>44</v>
      </c>
      <c r="D1068" s="10">
        <f>1</f>
        <v>1</v>
      </c>
      <c r="E1068" s="36">
        <f>23439.24</f>
        <v>23439.24</v>
      </c>
    </row>
    <row r="1069" spans="1:5" ht="12.75">
      <c r="A1069" s="4" t="s">
        <v>129</v>
      </c>
      <c r="B1069" s="6" t="s">
        <v>84</v>
      </c>
      <c r="C1069" s="6" t="s">
        <v>44</v>
      </c>
      <c r="D1069" s="10">
        <v>1</v>
      </c>
      <c r="E1069" s="36">
        <f>16510</f>
        <v>16510</v>
      </c>
    </row>
    <row r="1070" spans="1:5" ht="12.75">
      <c r="A1070" s="4" t="s">
        <v>129</v>
      </c>
      <c r="B1070" s="6" t="s">
        <v>91</v>
      </c>
      <c r="C1070" s="6" t="s">
        <v>44</v>
      </c>
      <c r="D1070" s="10">
        <v>1</v>
      </c>
      <c r="E1070" s="36">
        <f>16510</f>
        <v>16510</v>
      </c>
    </row>
    <row r="1071" spans="1:5" ht="12.75">
      <c r="A1071" s="15" t="s">
        <v>145</v>
      </c>
      <c r="B1071" s="6"/>
      <c r="C1071" s="6"/>
      <c r="D1071" s="10"/>
      <c r="E1071" s="34">
        <f>SUM(E1038:E1070)</f>
        <v>717742.4199999998</v>
      </c>
    </row>
    <row r="1072" spans="1:5" ht="12.75">
      <c r="A1072" s="45" t="s">
        <v>147</v>
      </c>
      <c r="B1072" s="46"/>
      <c r="C1072" s="46"/>
      <c r="D1072" s="46"/>
      <c r="E1072" s="47"/>
    </row>
    <row r="1073" spans="1:5" ht="12.75" hidden="1">
      <c r="A1073" s="4" t="s">
        <v>48</v>
      </c>
      <c r="B1073" s="6" t="s">
        <v>70</v>
      </c>
      <c r="C1073" s="6" t="s">
        <v>44</v>
      </c>
      <c r="D1073" s="10"/>
      <c r="E1073" s="36"/>
    </row>
    <row r="1074" spans="1:5" ht="12.75" hidden="1">
      <c r="A1074" s="4" t="s">
        <v>48</v>
      </c>
      <c r="B1074" s="6" t="s">
        <v>75</v>
      </c>
      <c r="C1074" s="6" t="s">
        <v>44</v>
      </c>
      <c r="D1074" s="10"/>
      <c r="E1074" s="36"/>
    </row>
    <row r="1075" spans="1:5" ht="12.75">
      <c r="A1075" s="4" t="s">
        <v>129</v>
      </c>
      <c r="B1075" s="6" t="s">
        <v>130</v>
      </c>
      <c r="C1075" s="6" t="s">
        <v>44</v>
      </c>
      <c r="D1075" s="10">
        <v>6</v>
      </c>
      <c r="E1075" s="36">
        <f>3374</f>
        <v>3374</v>
      </c>
    </row>
    <row r="1076" spans="1:5" ht="26.25" customHeight="1">
      <c r="A1076" s="15" t="s">
        <v>145</v>
      </c>
      <c r="B1076" s="6"/>
      <c r="C1076" s="6"/>
      <c r="D1076" s="10"/>
      <c r="E1076" s="34">
        <f>SUM(E1073:E1075)</f>
        <v>3374</v>
      </c>
    </row>
    <row r="1077" spans="1:5" ht="12.75">
      <c r="A1077" s="57" t="s">
        <v>31</v>
      </c>
      <c r="B1077" s="57"/>
      <c r="C1077" s="57"/>
      <c r="D1077" s="57"/>
      <c r="E1077" s="57"/>
    </row>
    <row r="1078" spans="1:5" ht="12.75">
      <c r="A1078" s="45" t="s">
        <v>187</v>
      </c>
      <c r="B1078" s="46"/>
      <c r="C1078" s="46"/>
      <c r="D1078" s="46"/>
      <c r="E1078" s="47"/>
    </row>
    <row r="1079" spans="1:5" s="16" customFormat="1" ht="15">
      <c r="A1079" s="4" t="s">
        <v>48</v>
      </c>
      <c r="B1079" s="6" t="s">
        <v>61</v>
      </c>
      <c r="C1079" s="6" t="s">
        <v>51</v>
      </c>
      <c r="D1079" s="6">
        <f>105</f>
        <v>105</v>
      </c>
      <c r="E1079" s="27">
        <f>94900.62</f>
        <v>94900.62</v>
      </c>
    </row>
    <row r="1080" spans="1:5" ht="12.75">
      <c r="A1080" s="15" t="s">
        <v>145</v>
      </c>
      <c r="B1080" s="12"/>
      <c r="C1080" s="12"/>
      <c r="D1080" s="12"/>
      <c r="E1080" s="28">
        <f>SUM(E1079:E1079)</f>
        <v>94900.62</v>
      </c>
    </row>
    <row r="1081" spans="1:5" ht="12.75">
      <c r="A1081" s="45" t="s">
        <v>167</v>
      </c>
      <c r="B1081" s="46"/>
      <c r="C1081" s="46"/>
      <c r="D1081" s="46"/>
      <c r="E1081" s="47"/>
    </row>
    <row r="1082" spans="1:5" s="16" customFormat="1" ht="15">
      <c r="A1082" s="4" t="s">
        <v>99</v>
      </c>
      <c r="B1082" s="6" t="s">
        <v>112</v>
      </c>
      <c r="C1082" s="6" t="s">
        <v>63</v>
      </c>
      <c r="D1082" s="6">
        <v>8</v>
      </c>
      <c r="E1082" s="27">
        <v>4593.27</v>
      </c>
    </row>
    <row r="1083" spans="1:5" ht="12.75">
      <c r="A1083" s="15" t="s">
        <v>145</v>
      </c>
      <c r="B1083" s="12"/>
      <c r="C1083" s="12"/>
      <c r="D1083" s="12"/>
      <c r="E1083" s="28">
        <f>SUM(E1082:E1082)</f>
        <v>4593.27</v>
      </c>
    </row>
    <row r="1084" spans="1:5" ht="12.75">
      <c r="A1084" s="45" t="s">
        <v>150</v>
      </c>
      <c r="B1084" s="46"/>
      <c r="C1084" s="46"/>
      <c r="D1084" s="46"/>
      <c r="E1084" s="47"/>
    </row>
    <row r="1085" spans="1:5" ht="15" hidden="1">
      <c r="A1085" s="4" t="s">
        <v>83</v>
      </c>
      <c r="B1085" s="6" t="s">
        <v>87</v>
      </c>
      <c r="C1085" s="9" t="s">
        <v>60</v>
      </c>
      <c r="D1085" s="6"/>
      <c r="E1085" s="27"/>
    </row>
    <row r="1086" spans="1:5" ht="15" hidden="1">
      <c r="A1086" s="4" t="s">
        <v>99</v>
      </c>
      <c r="B1086" s="6" t="s">
        <v>116</v>
      </c>
      <c r="C1086" s="9" t="s">
        <v>60</v>
      </c>
      <c r="D1086" s="6"/>
      <c r="E1086" s="27"/>
    </row>
    <row r="1087" spans="1:5" ht="15">
      <c r="A1087" s="7" t="s">
        <v>48</v>
      </c>
      <c r="B1087" s="6" t="s">
        <v>74</v>
      </c>
      <c r="C1087" s="9" t="s">
        <v>60</v>
      </c>
      <c r="D1087" s="8">
        <v>0.45</v>
      </c>
      <c r="E1087" s="30">
        <f>341.6</f>
        <v>341.6</v>
      </c>
    </row>
    <row r="1088" spans="1:5" ht="12.75">
      <c r="A1088" s="15" t="s">
        <v>145</v>
      </c>
      <c r="B1088" s="12"/>
      <c r="C1088" s="12"/>
      <c r="D1088" s="12"/>
      <c r="E1088" s="28">
        <f>SUM(E1085:E1087)</f>
        <v>341.6</v>
      </c>
    </row>
    <row r="1089" spans="1:5" ht="12.75">
      <c r="A1089" s="45" t="s">
        <v>30</v>
      </c>
      <c r="B1089" s="46"/>
      <c r="C1089" s="46"/>
      <c r="D1089" s="46"/>
      <c r="E1089" s="47"/>
    </row>
    <row r="1090" spans="1:5" ht="12.75">
      <c r="A1090" s="4" t="s">
        <v>48</v>
      </c>
      <c r="B1090" s="6" t="s">
        <v>61</v>
      </c>
      <c r="C1090" s="6" t="s">
        <v>44</v>
      </c>
      <c r="D1090" s="6">
        <v>1</v>
      </c>
      <c r="E1090" s="27">
        <f>4677</f>
        <v>4677</v>
      </c>
    </row>
    <row r="1091" spans="1:5" ht="12.75">
      <c r="A1091" s="4" t="s">
        <v>48</v>
      </c>
      <c r="B1091" s="6" t="s">
        <v>68</v>
      </c>
      <c r="C1091" s="6" t="s">
        <v>44</v>
      </c>
      <c r="D1091" s="6">
        <v>1</v>
      </c>
      <c r="E1091" s="27">
        <v>3370.62</v>
      </c>
    </row>
    <row r="1092" spans="1:5" ht="12.75">
      <c r="A1092" s="4" t="s">
        <v>99</v>
      </c>
      <c r="B1092" s="6" t="s">
        <v>96</v>
      </c>
      <c r="C1092" s="6" t="s">
        <v>44</v>
      </c>
      <c r="D1092" s="6">
        <v>1</v>
      </c>
      <c r="E1092" s="27">
        <f>3087</f>
        <v>3087</v>
      </c>
    </row>
    <row r="1093" spans="1:5" ht="12.75">
      <c r="A1093" s="4" t="s">
        <v>129</v>
      </c>
      <c r="B1093" s="6" t="s">
        <v>130</v>
      </c>
      <c r="C1093" s="6" t="s">
        <v>44</v>
      </c>
      <c r="D1093" s="6">
        <v>1</v>
      </c>
      <c r="E1093" s="27">
        <v>4244.29</v>
      </c>
    </row>
    <row r="1094" spans="1:5" ht="12.75">
      <c r="A1094" s="4" t="s">
        <v>129</v>
      </c>
      <c r="B1094" s="6" t="s">
        <v>132</v>
      </c>
      <c r="C1094" s="6" t="s">
        <v>44</v>
      </c>
      <c r="D1094" s="6">
        <v>7</v>
      </c>
      <c r="E1094" s="27">
        <v>5840.46</v>
      </c>
    </row>
    <row r="1095" spans="1:5" ht="12.75">
      <c r="A1095" s="4" t="s">
        <v>129</v>
      </c>
      <c r="B1095" s="6" t="s">
        <v>87</v>
      </c>
      <c r="C1095" s="6" t="s">
        <v>44</v>
      </c>
      <c r="D1095" s="6">
        <v>4</v>
      </c>
      <c r="E1095" s="27">
        <v>3644.84</v>
      </c>
    </row>
    <row r="1096" spans="1:5" ht="12.75">
      <c r="A1096" s="4" t="s">
        <v>129</v>
      </c>
      <c r="B1096" s="6" t="s">
        <v>88</v>
      </c>
      <c r="C1096" s="6" t="s">
        <v>44</v>
      </c>
      <c r="D1096" s="6">
        <v>1</v>
      </c>
      <c r="E1096" s="27">
        <v>1384.83</v>
      </c>
    </row>
    <row r="1097" spans="1:5" ht="12.75">
      <c r="A1097" s="4" t="s">
        <v>129</v>
      </c>
      <c r="B1097" s="6" t="s">
        <v>134</v>
      </c>
      <c r="C1097" s="6" t="s">
        <v>44</v>
      </c>
      <c r="D1097" s="6">
        <v>1</v>
      </c>
      <c r="E1097" s="27">
        <v>1384.83</v>
      </c>
    </row>
    <row r="1098" spans="1:5" ht="12.75" hidden="1">
      <c r="A1098" s="4" t="s">
        <v>129</v>
      </c>
      <c r="B1098" s="6" t="s">
        <v>135</v>
      </c>
      <c r="C1098" s="6" t="s">
        <v>44</v>
      </c>
      <c r="D1098" s="6"/>
      <c r="E1098" s="27"/>
    </row>
    <row r="1099" spans="1:5" ht="12.75">
      <c r="A1099" s="4" t="s">
        <v>83</v>
      </c>
      <c r="B1099" s="6" t="s">
        <v>87</v>
      </c>
      <c r="C1099" s="6" t="s">
        <v>44</v>
      </c>
      <c r="D1099" s="6">
        <v>3</v>
      </c>
      <c r="E1099" s="27">
        <v>3271.62</v>
      </c>
    </row>
    <row r="1100" spans="1:5" ht="12.75">
      <c r="A1100" s="4" t="s">
        <v>83</v>
      </c>
      <c r="B1100" s="6" t="s">
        <v>90</v>
      </c>
      <c r="C1100" s="6" t="s">
        <v>44</v>
      </c>
      <c r="D1100" s="6">
        <v>3</v>
      </c>
      <c r="E1100" s="27">
        <v>4155.71</v>
      </c>
    </row>
    <row r="1101" spans="1:5" ht="12.75" hidden="1">
      <c r="A1101" s="4" t="s">
        <v>83</v>
      </c>
      <c r="B1101" s="6" t="s">
        <v>54</v>
      </c>
      <c r="C1101" s="6" t="s">
        <v>44</v>
      </c>
      <c r="D1101" s="6"/>
      <c r="E1101" s="27"/>
    </row>
    <row r="1102" spans="1:5" ht="12.75">
      <c r="A1102" s="4" t="s">
        <v>140</v>
      </c>
      <c r="B1102" s="6" t="s">
        <v>94</v>
      </c>
      <c r="C1102" s="6" t="s">
        <v>44</v>
      </c>
      <c r="D1102" s="6">
        <v>2</v>
      </c>
      <c r="E1102" s="27">
        <v>1857.42</v>
      </c>
    </row>
    <row r="1103" spans="1:5" ht="12.75" hidden="1">
      <c r="A1103" s="4" t="s">
        <v>143</v>
      </c>
      <c r="B1103" s="6" t="s">
        <v>106</v>
      </c>
      <c r="C1103" s="6" t="s">
        <v>44</v>
      </c>
      <c r="D1103" s="6"/>
      <c r="E1103" s="27"/>
    </row>
    <row r="1104" spans="1:5" ht="12.75" hidden="1">
      <c r="A1104" s="4" t="s">
        <v>143</v>
      </c>
      <c r="B1104" s="6" t="s">
        <v>107</v>
      </c>
      <c r="C1104" s="6" t="s">
        <v>44</v>
      </c>
      <c r="D1104" s="6"/>
      <c r="E1104" s="27"/>
    </row>
    <row r="1105" spans="1:5" ht="12.75">
      <c r="A1105" s="15" t="s">
        <v>145</v>
      </c>
      <c r="B1105" s="6"/>
      <c r="C1105" s="6"/>
      <c r="D1105" s="10"/>
      <c r="E1105" s="34">
        <f>SUM(E1090:E1104)</f>
        <v>36918.62</v>
      </c>
    </row>
    <row r="1106" spans="1:5" ht="12.75" hidden="1">
      <c r="A1106" s="4"/>
      <c r="B1106" s="5"/>
      <c r="C1106" s="5"/>
      <c r="D1106" s="6"/>
      <c r="E1106" s="27"/>
    </row>
    <row r="1107" spans="1:5" ht="12.75">
      <c r="A1107" s="45" t="s">
        <v>7</v>
      </c>
      <c r="B1107" s="46"/>
      <c r="C1107" s="46"/>
      <c r="D1107" s="46"/>
      <c r="E1107" s="47"/>
    </row>
    <row r="1108" spans="1:5" ht="12.75" hidden="1">
      <c r="A1108" s="4" t="s">
        <v>129</v>
      </c>
      <c r="B1108" s="6" t="s">
        <v>84</v>
      </c>
      <c r="C1108" s="6" t="s">
        <v>44</v>
      </c>
      <c r="D1108" s="6"/>
      <c r="E1108" s="27"/>
    </row>
    <row r="1109" spans="1:5" ht="12.75">
      <c r="A1109" s="4" t="s">
        <v>129</v>
      </c>
      <c r="B1109" s="6" t="s">
        <v>131</v>
      </c>
      <c r="C1109" s="6" t="s">
        <v>44</v>
      </c>
      <c r="D1109" s="6">
        <v>1</v>
      </c>
      <c r="E1109" s="27">
        <v>2390.9</v>
      </c>
    </row>
    <row r="1110" spans="1:5" ht="12.75" hidden="1">
      <c r="A1110" s="4" t="s">
        <v>83</v>
      </c>
      <c r="B1110" s="6" t="s">
        <v>88</v>
      </c>
      <c r="C1110" s="6" t="s">
        <v>44</v>
      </c>
      <c r="D1110" s="6"/>
      <c r="E1110" s="27"/>
    </row>
    <row r="1111" spans="1:5" ht="12.75" hidden="1">
      <c r="A1111" s="4" t="s">
        <v>83</v>
      </c>
      <c r="B1111" s="6" t="s">
        <v>41</v>
      </c>
      <c r="C1111" s="6" t="s">
        <v>44</v>
      </c>
      <c r="D1111" s="6"/>
      <c r="E1111" s="27"/>
    </row>
    <row r="1112" spans="1:5" ht="12.75">
      <c r="A1112" s="4" t="s">
        <v>83</v>
      </c>
      <c r="B1112" s="6" t="s">
        <v>54</v>
      </c>
      <c r="C1112" s="6" t="s">
        <v>44</v>
      </c>
      <c r="D1112" s="6">
        <v>1</v>
      </c>
      <c r="E1112" s="27">
        <v>3073.76</v>
      </c>
    </row>
    <row r="1113" spans="1:5" ht="12.75">
      <c r="A1113" s="4" t="s">
        <v>100</v>
      </c>
      <c r="B1113" s="6" t="s">
        <v>106</v>
      </c>
      <c r="C1113" s="6" t="s">
        <v>44</v>
      </c>
      <c r="D1113" s="6">
        <v>1</v>
      </c>
      <c r="E1113" s="27">
        <v>2247.71</v>
      </c>
    </row>
    <row r="1114" spans="1:5" ht="12.75" hidden="1">
      <c r="A1114" s="4" t="s">
        <v>100</v>
      </c>
      <c r="B1114" s="6" t="s">
        <v>107</v>
      </c>
      <c r="C1114" s="6" t="s">
        <v>44</v>
      </c>
      <c r="D1114" s="6"/>
      <c r="E1114" s="27"/>
    </row>
    <row r="1115" spans="1:5" ht="12.75" hidden="1">
      <c r="A1115" s="4" t="s">
        <v>100</v>
      </c>
      <c r="B1115" s="6" t="s">
        <v>112</v>
      </c>
      <c r="C1115" s="6" t="s">
        <v>44</v>
      </c>
      <c r="D1115" s="6"/>
      <c r="E1115" s="27"/>
    </row>
    <row r="1116" spans="1:5" ht="12.75" hidden="1">
      <c r="A1116" s="4" t="s">
        <v>100</v>
      </c>
      <c r="B1116" s="6" t="s">
        <v>116</v>
      </c>
      <c r="C1116" s="6" t="s">
        <v>44</v>
      </c>
      <c r="D1116" s="6"/>
      <c r="E1116" s="27"/>
    </row>
    <row r="1117" spans="1:5" ht="12.75">
      <c r="A1117" s="4" t="s">
        <v>100</v>
      </c>
      <c r="B1117" s="6" t="s">
        <v>123</v>
      </c>
      <c r="C1117" s="6" t="s">
        <v>44</v>
      </c>
      <c r="D1117" s="6">
        <v>1</v>
      </c>
      <c r="E1117" s="27">
        <f>849.11</f>
        <v>849.11</v>
      </c>
    </row>
    <row r="1118" spans="1:5" ht="12.75" hidden="1">
      <c r="A1118" s="4" t="s">
        <v>126</v>
      </c>
      <c r="B1118" s="6" t="s">
        <v>121</v>
      </c>
      <c r="C1118" s="6" t="s">
        <v>44</v>
      </c>
      <c r="D1118" s="6"/>
      <c r="E1118" s="27"/>
    </row>
    <row r="1119" spans="1:5" ht="12.75">
      <c r="A1119" s="4" t="s">
        <v>48</v>
      </c>
      <c r="B1119" s="6" t="s">
        <v>61</v>
      </c>
      <c r="C1119" s="6" t="s">
        <v>44</v>
      </c>
      <c r="D1119" s="10">
        <v>1</v>
      </c>
      <c r="E1119" s="36">
        <f>3513.01</f>
        <v>3513.01</v>
      </c>
    </row>
    <row r="1120" spans="1:5" ht="12.75" hidden="1">
      <c r="A1120" s="4"/>
      <c r="B1120" s="6"/>
      <c r="C1120" s="6"/>
      <c r="D1120" s="6"/>
      <c r="E1120" s="27"/>
    </row>
    <row r="1121" spans="1:5" s="16" customFormat="1" ht="12.75" hidden="1">
      <c r="A1121" s="4"/>
      <c r="B1121" s="6"/>
      <c r="C1121" s="6"/>
      <c r="D1121" s="6"/>
      <c r="E1121" s="27"/>
    </row>
    <row r="1122" spans="1:5" ht="12.75">
      <c r="A1122" s="15" t="s">
        <v>145</v>
      </c>
      <c r="B1122" s="12"/>
      <c r="C1122" s="12"/>
      <c r="D1122" s="12"/>
      <c r="E1122" s="28">
        <f>SUM(E1109:E1121)</f>
        <v>12074.49</v>
      </c>
    </row>
    <row r="1123" spans="1:5" ht="12.75">
      <c r="A1123" s="45" t="s">
        <v>175</v>
      </c>
      <c r="B1123" s="46"/>
      <c r="C1123" s="46"/>
      <c r="D1123" s="46"/>
      <c r="E1123" s="47"/>
    </row>
    <row r="1124" spans="1:5" ht="12.75" hidden="1">
      <c r="A1124" s="4" t="s">
        <v>40</v>
      </c>
      <c r="B1124" s="6" t="s">
        <v>41</v>
      </c>
      <c r="C1124" s="6" t="s">
        <v>44</v>
      </c>
      <c r="D1124" s="6"/>
      <c r="E1124" s="27"/>
    </row>
    <row r="1125" spans="1:5" ht="12.75">
      <c r="A1125" s="4" t="s">
        <v>83</v>
      </c>
      <c r="B1125" s="6" t="s">
        <v>54</v>
      </c>
      <c r="C1125" s="6" t="s">
        <v>44</v>
      </c>
      <c r="D1125" s="6">
        <v>2</v>
      </c>
      <c r="E1125" s="27">
        <v>3453</v>
      </c>
    </row>
    <row r="1126" spans="1:5" ht="12.75" hidden="1">
      <c r="A1126" s="4" t="s">
        <v>100</v>
      </c>
      <c r="B1126" s="6" t="s">
        <v>117</v>
      </c>
      <c r="C1126" s="6" t="s">
        <v>44</v>
      </c>
      <c r="D1126" s="6"/>
      <c r="E1126" s="27"/>
    </row>
    <row r="1127" spans="1:5" ht="12.75" hidden="1">
      <c r="A1127" s="4" t="s">
        <v>126</v>
      </c>
      <c r="B1127" s="6" t="s">
        <v>121</v>
      </c>
      <c r="C1127" s="6" t="s">
        <v>44</v>
      </c>
      <c r="D1127" s="6"/>
      <c r="E1127" s="27"/>
    </row>
    <row r="1128" spans="1:5" ht="12.75" hidden="1">
      <c r="A1128" s="4"/>
      <c r="B1128" s="6"/>
      <c r="C1128" s="6"/>
      <c r="D1128" s="6"/>
      <c r="E1128" s="27"/>
    </row>
    <row r="1129" spans="1:5" ht="12.75" hidden="1">
      <c r="A1129" s="4"/>
      <c r="B1129" s="6"/>
      <c r="C1129" s="6"/>
      <c r="D1129" s="6"/>
      <c r="E1129" s="27"/>
    </row>
    <row r="1130" spans="1:5" ht="12.75" hidden="1">
      <c r="A1130" s="4"/>
      <c r="B1130" s="6"/>
      <c r="C1130" s="6"/>
      <c r="D1130" s="6"/>
      <c r="E1130" s="27"/>
    </row>
    <row r="1131" spans="1:5" ht="12.75" hidden="1">
      <c r="A1131" s="4"/>
      <c r="B1131" s="6"/>
      <c r="C1131" s="6"/>
      <c r="D1131" s="6"/>
      <c r="E1131" s="27"/>
    </row>
    <row r="1132" spans="1:5" s="16" customFormat="1" ht="12.75" hidden="1">
      <c r="A1132" s="4"/>
      <c r="B1132" s="6"/>
      <c r="C1132" s="6"/>
      <c r="D1132" s="6"/>
      <c r="E1132" s="27"/>
    </row>
    <row r="1133" spans="1:5" ht="12.75">
      <c r="A1133" s="15" t="s">
        <v>145</v>
      </c>
      <c r="B1133" s="12"/>
      <c r="C1133" s="12"/>
      <c r="D1133" s="12"/>
      <c r="E1133" s="28">
        <f>SUM(E1124:E1132)</f>
        <v>3453</v>
      </c>
    </row>
    <row r="1134" spans="1:5" ht="12.75">
      <c r="A1134" s="45" t="s">
        <v>148</v>
      </c>
      <c r="B1134" s="46"/>
      <c r="C1134" s="46"/>
      <c r="D1134" s="46"/>
      <c r="E1134" s="47"/>
    </row>
    <row r="1135" spans="1:5" s="16" customFormat="1" ht="12.75">
      <c r="A1135" s="5" t="s">
        <v>40</v>
      </c>
      <c r="B1135" s="6" t="s">
        <v>61</v>
      </c>
      <c r="C1135" s="6" t="s">
        <v>44</v>
      </c>
      <c r="D1135" s="6">
        <v>1</v>
      </c>
      <c r="E1135" s="27">
        <v>503.31</v>
      </c>
    </row>
    <row r="1136" spans="1:5" s="16" customFormat="1" ht="12.75">
      <c r="A1136" s="5" t="s">
        <v>99</v>
      </c>
      <c r="B1136" s="6" t="s">
        <v>120</v>
      </c>
      <c r="C1136" s="6" t="s">
        <v>44</v>
      </c>
      <c r="D1136" s="6">
        <v>1</v>
      </c>
      <c r="E1136" s="27">
        <v>503.31</v>
      </c>
    </row>
    <row r="1137" spans="1:5" ht="12.75">
      <c r="A1137" s="15" t="s">
        <v>145</v>
      </c>
      <c r="B1137" s="14"/>
      <c r="C1137" s="14"/>
      <c r="D1137" s="14"/>
      <c r="E1137" s="37">
        <f>SUM(E1135:E1136)</f>
        <v>1006.62</v>
      </c>
    </row>
    <row r="1138" spans="1:5" ht="12.75">
      <c r="A1138" s="45" t="s">
        <v>174</v>
      </c>
      <c r="B1138" s="46"/>
      <c r="C1138" s="46"/>
      <c r="D1138" s="46"/>
      <c r="E1138" s="47"/>
    </row>
    <row r="1139" spans="1:5" s="16" customFormat="1" ht="12.75">
      <c r="A1139" s="5" t="s">
        <v>100</v>
      </c>
      <c r="B1139" s="6" t="s">
        <v>95</v>
      </c>
      <c r="C1139" s="6" t="s">
        <v>44</v>
      </c>
      <c r="D1139" s="6">
        <v>1</v>
      </c>
      <c r="E1139" s="27">
        <v>2435.12</v>
      </c>
    </row>
    <row r="1140" spans="1:5" s="16" customFormat="1" ht="12.75">
      <c r="A1140" s="5" t="s">
        <v>100</v>
      </c>
      <c r="B1140" s="6" t="s">
        <v>116</v>
      </c>
      <c r="C1140" s="6" t="s">
        <v>44</v>
      </c>
      <c r="D1140" s="6">
        <v>1</v>
      </c>
      <c r="E1140" s="27">
        <v>2435.12</v>
      </c>
    </row>
    <row r="1141" spans="1:5" s="16" customFormat="1" ht="12.75">
      <c r="A1141" s="5" t="s">
        <v>100</v>
      </c>
      <c r="B1141" s="6" t="s">
        <v>120</v>
      </c>
      <c r="C1141" s="6" t="s">
        <v>44</v>
      </c>
      <c r="D1141" s="6">
        <v>1</v>
      </c>
      <c r="E1141" s="27">
        <v>2435.12</v>
      </c>
    </row>
    <row r="1142" spans="1:5" s="16" customFormat="1" ht="12.75">
      <c r="A1142" s="5" t="s">
        <v>97</v>
      </c>
      <c r="B1142" s="6" t="s">
        <v>86</v>
      </c>
      <c r="C1142" s="6" t="s">
        <v>44</v>
      </c>
      <c r="D1142" s="6">
        <v>1</v>
      </c>
      <c r="E1142" s="27">
        <v>2435.12</v>
      </c>
    </row>
    <row r="1143" spans="1:5" s="16" customFormat="1" ht="12.75">
      <c r="A1143" s="5" t="s">
        <v>129</v>
      </c>
      <c r="B1143" s="6" t="s">
        <v>135</v>
      </c>
      <c r="C1143" s="6" t="s">
        <v>44</v>
      </c>
      <c r="D1143" s="6">
        <v>1</v>
      </c>
      <c r="E1143" s="27">
        <v>2435.12</v>
      </c>
    </row>
    <row r="1144" spans="1:5" ht="12.75">
      <c r="A1144" s="15" t="s">
        <v>145</v>
      </c>
      <c r="B1144" s="14"/>
      <c r="C1144" s="14"/>
      <c r="D1144" s="14"/>
      <c r="E1144" s="37">
        <f>SUM(E1139:E1143)</f>
        <v>12175.599999999999</v>
      </c>
    </row>
    <row r="1145" spans="1:5" ht="12.75">
      <c r="A1145" s="45" t="s">
        <v>159</v>
      </c>
      <c r="B1145" s="46"/>
      <c r="C1145" s="46"/>
      <c r="D1145" s="46"/>
      <c r="E1145" s="47"/>
    </row>
    <row r="1146" spans="1:5" s="16" customFormat="1" ht="15">
      <c r="A1146" s="5" t="s">
        <v>40</v>
      </c>
      <c r="B1146" s="6" t="s">
        <v>68</v>
      </c>
      <c r="C1146" s="9" t="s">
        <v>60</v>
      </c>
      <c r="D1146" s="6">
        <v>180</v>
      </c>
      <c r="E1146" s="27">
        <v>6204.2</v>
      </c>
    </row>
    <row r="1147" spans="1:5" s="16" customFormat="1" ht="15">
      <c r="A1147" s="5" t="s">
        <v>99</v>
      </c>
      <c r="B1147" s="6" t="s">
        <v>96</v>
      </c>
      <c r="C1147" s="9" t="s">
        <v>60</v>
      </c>
      <c r="D1147" s="6">
        <v>180</v>
      </c>
      <c r="E1147" s="27">
        <v>6204.2</v>
      </c>
    </row>
    <row r="1148" spans="1:5" s="16" customFormat="1" ht="15">
      <c r="A1148" s="5" t="s">
        <v>129</v>
      </c>
      <c r="B1148" s="6" t="s">
        <v>84</v>
      </c>
      <c r="C1148" s="9" t="s">
        <v>60</v>
      </c>
      <c r="D1148" s="6">
        <v>180</v>
      </c>
      <c r="E1148" s="27">
        <v>6204.2</v>
      </c>
    </row>
    <row r="1149" spans="1:5" s="16" customFormat="1" ht="15">
      <c r="A1149" s="5" t="s">
        <v>129</v>
      </c>
      <c r="B1149" s="6" t="s">
        <v>131</v>
      </c>
      <c r="C1149" s="9" t="s">
        <v>60</v>
      </c>
      <c r="D1149" s="6">
        <v>380</v>
      </c>
      <c r="E1149" s="27">
        <v>10335.62</v>
      </c>
    </row>
    <row r="1150" spans="1:5" ht="12.75">
      <c r="A1150" s="15" t="s">
        <v>145</v>
      </c>
      <c r="B1150" s="14"/>
      <c r="C1150" s="14"/>
      <c r="D1150" s="14"/>
      <c r="E1150" s="37">
        <f>SUM(E1146:E1149)</f>
        <v>28948.22</v>
      </c>
    </row>
    <row r="1151" spans="1:5" ht="12.75">
      <c r="A1151" s="45" t="s">
        <v>191</v>
      </c>
      <c r="B1151" s="46"/>
      <c r="C1151" s="46"/>
      <c r="D1151" s="46"/>
      <c r="E1151" s="47"/>
    </row>
    <row r="1152" spans="1:5" s="16" customFormat="1" ht="12.75">
      <c r="A1152" s="5" t="s">
        <v>99</v>
      </c>
      <c r="B1152" s="6" t="s">
        <v>123</v>
      </c>
      <c r="C1152" s="9" t="s">
        <v>166</v>
      </c>
      <c r="D1152" s="6"/>
      <c r="E1152" s="27">
        <v>2202.56</v>
      </c>
    </row>
    <row r="1153" spans="1:5" s="16" customFormat="1" ht="12.75">
      <c r="A1153" s="5" t="s">
        <v>125</v>
      </c>
      <c r="B1153" s="6" t="s">
        <v>121</v>
      </c>
      <c r="C1153" s="9" t="s">
        <v>166</v>
      </c>
      <c r="D1153" s="6"/>
      <c r="E1153" s="27">
        <v>11636.48</v>
      </c>
    </row>
    <row r="1154" spans="1:5" s="16" customFormat="1" ht="12.75">
      <c r="A1154" s="5" t="s">
        <v>83</v>
      </c>
      <c r="B1154" s="6" t="s">
        <v>87</v>
      </c>
      <c r="C1154" s="9" t="s">
        <v>166</v>
      </c>
      <c r="D1154" s="6"/>
      <c r="E1154" s="27">
        <v>206.49</v>
      </c>
    </row>
    <row r="1155" spans="1:5" s="16" customFormat="1" ht="12.75">
      <c r="A1155" s="5" t="s">
        <v>129</v>
      </c>
      <c r="B1155" s="6" t="s">
        <v>87</v>
      </c>
      <c r="C1155" s="9" t="s">
        <v>166</v>
      </c>
      <c r="D1155" s="6"/>
      <c r="E1155" s="27">
        <v>550.64</v>
      </c>
    </row>
    <row r="1156" spans="1:5" s="16" customFormat="1" ht="12.75">
      <c r="A1156" s="5" t="s">
        <v>97</v>
      </c>
      <c r="B1156" s="6" t="s">
        <v>98</v>
      </c>
      <c r="C1156" s="9" t="s">
        <v>166</v>
      </c>
      <c r="D1156" s="6"/>
      <c r="E1156" s="27">
        <v>4245.92</v>
      </c>
    </row>
    <row r="1157" spans="1:5" ht="12.75">
      <c r="A1157" s="15" t="s">
        <v>145</v>
      </c>
      <c r="B1157" s="14"/>
      <c r="C1157" s="14"/>
      <c r="D1157" s="14"/>
      <c r="E1157" s="37">
        <f>SUM(E1152:E1156)</f>
        <v>18842.089999999997</v>
      </c>
    </row>
    <row r="1158" spans="1:5" ht="12.75">
      <c r="A1158" s="45" t="s">
        <v>173</v>
      </c>
      <c r="B1158" s="46"/>
      <c r="C1158" s="46"/>
      <c r="D1158" s="46"/>
      <c r="E1158" s="47"/>
    </row>
    <row r="1159" spans="1:5" s="16" customFormat="1" ht="12.75">
      <c r="A1159" s="5" t="s">
        <v>40</v>
      </c>
      <c r="B1159" s="6" t="s">
        <v>56</v>
      </c>
      <c r="C1159" s="6" t="s">
        <v>166</v>
      </c>
      <c r="D1159" s="6"/>
      <c r="E1159" s="27">
        <v>180000</v>
      </c>
    </row>
    <row r="1160" spans="1:5" ht="12.75">
      <c r="A1160" s="15" t="s">
        <v>145</v>
      </c>
      <c r="B1160" s="14"/>
      <c r="C1160" s="14"/>
      <c r="D1160" s="14"/>
      <c r="E1160" s="37">
        <f>E1159</f>
        <v>180000</v>
      </c>
    </row>
    <row r="1161" spans="1:5" ht="12.75">
      <c r="A1161" s="45" t="s">
        <v>160</v>
      </c>
      <c r="B1161" s="46"/>
      <c r="C1161" s="46"/>
      <c r="D1161" s="46"/>
      <c r="E1161" s="47"/>
    </row>
    <row r="1162" spans="1:5" s="16" customFormat="1" ht="12.75">
      <c r="A1162" s="5" t="s">
        <v>125</v>
      </c>
      <c r="B1162" s="6" t="s">
        <v>121</v>
      </c>
      <c r="C1162" s="6" t="s">
        <v>44</v>
      </c>
      <c r="D1162" s="6">
        <v>1</v>
      </c>
      <c r="E1162" s="27">
        <v>10000</v>
      </c>
    </row>
    <row r="1163" spans="1:5" ht="12.75">
      <c r="A1163" s="15" t="s">
        <v>145</v>
      </c>
      <c r="B1163" s="14"/>
      <c r="C1163" s="14"/>
      <c r="D1163" s="14"/>
      <c r="E1163" s="37">
        <f>E1162</f>
        <v>10000</v>
      </c>
    </row>
    <row r="1164" spans="1:5" ht="12.75">
      <c r="A1164" s="45" t="s">
        <v>162</v>
      </c>
      <c r="B1164" s="46"/>
      <c r="C1164" s="46"/>
      <c r="D1164" s="46"/>
      <c r="E1164" s="47"/>
    </row>
    <row r="1165" spans="1:5" s="16" customFormat="1" ht="12.75">
      <c r="A1165" s="5" t="s">
        <v>40</v>
      </c>
      <c r="B1165" s="6" t="s">
        <v>56</v>
      </c>
      <c r="C1165" s="6" t="s">
        <v>44</v>
      </c>
      <c r="D1165" s="6">
        <v>1</v>
      </c>
      <c r="E1165" s="27">
        <v>342.82</v>
      </c>
    </row>
    <row r="1166" spans="1:5" s="16" customFormat="1" ht="12.75">
      <c r="A1166" s="5" t="s">
        <v>40</v>
      </c>
      <c r="B1166" s="6" t="s">
        <v>78</v>
      </c>
      <c r="C1166" s="6" t="s">
        <v>44</v>
      </c>
      <c r="D1166" s="6">
        <v>1</v>
      </c>
      <c r="E1166" s="27">
        <f>15000</f>
        <v>15000</v>
      </c>
    </row>
    <row r="1167" spans="1:5" s="16" customFormat="1" ht="12.75">
      <c r="A1167" s="5" t="s">
        <v>138</v>
      </c>
      <c r="B1167" s="6" t="s">
        <v>93</v>
      </c>
      <c r="C1167" s="6" t="s">
        <v>44</v>
      </c>
      <c r="D1167" s="6">
        <v>1</v>
      </c>
      <c r="E1167" s="27">
        <v>342.82</v>
      </c>
    </row>
    <row r="1168" spans="1:5" s="16" customFormat="1" ht="12" customHeight="1">
      <c r="A1168" s="5" t="s">
        <v>129</v>
      </c>
      <c r="B1168" s="6" t="s">
        <v>130</v>
      </c>
      <c r="C1168" s="6" t="s">
        <v>44</v>
      </c>
      <c r="D1168" s="6">
        <v>1</v>
      </c>
      <c r="E1168" s="27">
        <v>342.82</v>
      </c>
    </row>
    <row r="1169" spans="1:5" ht="12.75">
      <c r="A1169" s="15" t="s">
        <v>145</v>
      </c>
      <c r="B1169" s="14"/>
      <c r="C1169" s="14"/>
      <c r="D1169" s="14"/>
      <c r="E1169" s="37">
        <f>SUM(E1165:E1168)</f>
        <v>16028.46</v>
      </c>
    </row>
    <row r="1170" spans="1:5" ht="12.75">
      <c r="A1170" s="45" t="s">
        <v>165</v>
      </c>
      <c r="B1170" s="46"/>
      <c r="C1170" s="46"/>
      <c r="D1170" s="46"/>
      <c r="E1170" s="47"/>
    </row>
    <row r="1171" spans="1:5" ht="12.75">
      <c r="A1171" s="4" t="s">
        <v>129</v>
      </c>
      <c r="B1171" s="6" t="s">
        <v>130</v>
      </c>
      <c r="C1171" s="6" t="s">
        <v>166</v>
      </c>
      <c r="D1171" s="6"/>
      <c r="E1171" s="27">
        <f>3184+235.2+352.8+588</f>
        <v>4360</v>
      </c>
    </row>
    <row r="1172" spans="1:5" ht="12.75">
      <c r="A1172" s="4" t="s">
        <v>129</v>
      </c>
      <c r="B1172" s="6" t="s">
        <v>135</v>
      </c>
      <c r="C1172" s="6" t="s">
        <v>166</v>
      </c>
      <c r="D1172" s="6"/>
      <c r="E1172" s="27">
        <f>1006+5030.08+6905.07+725+1638</f>
        <v>15304.15</v>
      </c>
    </row>
    <row r="1173" spans="1:5" ht="12.75">
      <c r="A1173" s="4" t="s">
        <v>129</v>
      </c>
      <c r="B1173" s="6" t="s">
        <v>91</v>
      </c>
      <c r="C1173" s="6" t="s">
        <v>166</v>
      </c>
      <c r="D1173" s="6"/>
      <c r="E1173" s="27">
        <v>706.62</v>
      </c>
    </row>
    <row r="1174" spans="1:5" ht="12.75">
      <c r="A1174" s="4" t="s">
        <v>40</v>
      </c>
      <c r="B1174" s="6" t="s">
        <v>59</v>
      </c>
      <c r="C1174" s="6" t="s">
        <v>166</v>
      </c>
      <c r="D1174" s="6"/>
      <c r="E1174" s="27">
        <v>274.76</v>
      </c>
    </row>
    <row r="1175" spans="1:5" ht="12.75">
      <c r="A1175" s="4" t="s">
        <v>83</v>
      </c>
      <c r="B1175" s="6" t="s">
        <v>87</v>
      </c>
      <c r="C1175" s="6" t="s">
        <v>166</v>
      </c>
      <c r="D1175" s="6"/>
      <c r="E1175" s="27">
        <v>754.27</v>
      </c>
    </row>
    <row r="1176" spans="1:5" ht="12.75">
      <c r="A1176" s="4" t="s">
        <v>99</v>
      </c>
      <c r="B1176" s="6" t="s">
        <v>93</v>
      </c>
      <c r="C1176" s="6" t="s">
        <v>166</v>
      </c>
      <c r="D1176" s="6"/>
      <c r="E1176" s="27">
        <v>201.2</v>
      </c>
    </row>
    <row r="1177" spans="1:5" ht="12.75">
      <c r="A1177" s="4" t="s">
        <v>99</v>
      </c>
      <c r="B1177" s="6" t="s">
        <v>95</v>
      </c>
      <c r="C1177" s="6" t="s">
        <v>166</v>
      </c>
      <c r="D1177" s="6"/>
      <c r="E1177" s="27">
        <v>914.56</v>
      </c>
    </row>
    <row r="1178" spans="1:5" ht="12.75">
      <c r="A1178" s="4" t="s">
        <v>99</v>
      </c>
      <c r="B1178" s="6" t="s">
        <v>116</v>
      </c>
      <c r="C1178" s="6" t="s">
        <v>166</v>
      </c>
      <c r="D1178" s="6"/>
      <c r="E1178" s="27">
        <v>1006</v>
      </c>
    </row>
    <row r="1179" spans="1:5" ht="12.75">
      <c r="A1179" s="4" t="s">
        <v>125</v>
      </c>
      <c r="B1179" s="6" t="s">
        <v>93</v>
      </c>
      <c r="C1179" s="6" t="s">
        <v>166</v>
      </c>
      <c r="D1179" s="6"/>
      <c r="E1179" s="27">
        <v>706.62</v>
      </c>
    </row>
    <row r="1180" spans="1:5" ht="12.75">
      <c r="A1180" s="4" t="s">
        <v>125</v>
      </c>
      <c r="B1180" s="6" t="s">
        <v>121</v>
      </c>
      <c r="C1180" s="6" t="s">
        <v>166</v>
      </c>
      <c r="D1180" s="6"/>
      <c r="E1180" s="27">
        <f>503+1112.84</f>
        <v>1615.84</v>
      </c>
    </row>
    <row r="1181" spans="1:5" ht="12.75" hidden="1">
      <c r="A1181" s="4"/>
      <c r="B1181" s="6"/>
      <c r="C1181" s="6"/>
      <c r="D1181" s="6"/>
      <c r="E1181" s="27"/>
    </row>
    <row r="1182" spans="1:5" ht="12.75" hidden="1">
      <c r="A1182" s="4"/>
      <c r="B1182" s="6"/>
      <c r="C1182" s="6"/>
      <c r="D1182" s="6"/>
      <c r="E1182" s="27"/>
    </row>
    <row r="1183" spans="1:5" ht="12.75">
      <c r="A1183" s="15" t="s">
        <v>145</v>
      </c>
      <c r="B1183" s="14"/>
      <c r="C1183" s="14"/>
      <c r="D1183" s="14"/>
      <c r="E1183" s="37">
        <f>SUM(E1171:E1182)</f>
        <v>25844.02</v>
      </c>
    </row>
    <row r="1185" spans="1:5" ht="15">
      <c r="A1185" s="18" t="s">
        <v>146</v>
      </c>
      <c r="B1185" s="18"/>
      <c r="C1185" s="18"/>
      <c r="D1185" s="18"/>
      <c r="E1185" s="38">
        <f>E34+E84+E89+E96+E112+E120+E128+E143+E151+E187+E237+E260+E276+E291+E301+E316+E330+E369+E400+E403+E413+E427+E451+E458+E515+E518+E563+E574+E586+E590+E686+E693+E732+E746+E752+E800+E882+E892+E956+E1024+E1030+E1036+E1071+E1076+E1080+E1083+E1088+E1105+E1122+E1133+E1137+E1144+E1150+E1157+E1160+E1163+E1169+E1183</f>
        <v>9946813.549999999</v>
      </c>
    </row>
    <row r="1186" ht="12.75">
      <c r="E1186" s="42"/>
    </row>
  </sheetData>
  <mergeCells count="66">
    <mergeCell ref="A3:E3"/>
    <mergeCell ref="A4:E4"/>
    <mergeCell ref="A5:E5"/>
    <mergeCell ref="A591:E591"/>
    <mergeCell ref="A519:E519"/>
    <mergeCell ref="A516:E516"/>
    <mergeCell ref="A461:E461"/>
    <mergeCell ref="A302:E302"/>
    <mergeCell ref="A418:E418"/>
    <mergeCell ref="A7:E7"/>
    <mergeCell ref="A429:E429"/>
    <mergeCell ref="A1031:E1031"/>
    <mergeCell ref="A1037:E1037"/>
    <mergeCell ref="A957:E957"/>
    <mergeCell ref="A592:E592"/>
    <mergeCell ref="A893:E893"/>
    <mergeCell ref="A688:E688"/>
    <mergeCell ref="A588:E588"/>
    <mergeCell ref="A575:E575"/>
    <mergeCell ref="A564:E564"/>
    <mergeCell ref="A370:E370"/>
    <mergeCell ref="A35:E36"/>
    <mergeCell ref="A1123:E1123"/>
    <mergeCell ref="A1077:E1077"/>
    <mergeCell ref="A372:E372"/>
    <mergeCell ref="A1107:E1107"/>
    <mergeCell ref="A1089:E1089"/>
    <mergeCell ref="A1084:E1084"/>
    <mergeCell ref="A1081:E1081"/>
    <mergeCell ref="A404:E404"/>
    <mergeCell ref="A8:E8"/>
    <mergeCell ref="A121:E121"/>
    <mergeCell ref="A129:E129"/>
    <mergeCell ref="A91:E91"/>
    <mergeCell ref="A85:E85"/>
    <mergeCell ref="A113:E113"/>
    <mergeCell ref="A115:E115"/>
    <mergeCell ref="A97:E97"/>
    <mergeCell ref="A1078:E1078"/>
    <mergeCell ref="A144:E144"/>
    <mergeCell ref="A188:E188"/>
    <mergeCell ref="A331:E331"/>
    <mergeCell ref="A317:E317"/>
    <mergeCell ref="A152:E152"/>
    <mergeCell ref="A277:E277"/>
    <mergeCell ref="A238:E238"/>
    <mergeCell ref="A261:E261"/>
    <mergeCell ref="A292:E292"/>
    <mergeCell ref="A1170:E1170"/>
    <mergeCell ref="A1164:E1164"/>
    <mergeCell ref="A1145:E1145"/>
    <mergeCell ref="A1134:E1134"/>
    <mergeCell ref="A1161:E1161"/>
    <mergeCell ref="A1158:E1158"/>
    <mergeCell ref="A1138:E1138"/>
    <mergeCell ref="A1151:E1151"/>
    <mergeCell ref="A401:E401"/>
    <mergeCell ref="A1025:E1025"/>
    <mergeCell ref="A801:E801"/>
    <mergeCell ref="A1072:E1072"/>
    <mergeCell ref="A694:E694"/>
    <mergeCell ref="A753:E753"/>
    <mergeCell ref="A734:E734"/>
    <mergeCell ref="A452:E452"/>
    <mergeCell ref="A883:E883"/>
    <mergeCell ref="A747:E747"/>
  </mergeCells>
  <printOptions/>
  <pageMargins left="0.75" right="0.75" top="0.25" bottom="0.3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Журова</cp:lastModifiedBy>
  <cp:lastPrinted>2014-02-21T08:00:37Z</cp:lastPrinted>
  <dcterms:created xsi:type="dcterms:W3CDTF">1996-10-08T23:32:33Z</dcterms:created>
  <dcterms:modified xsi:type="dcterms:W3CDTF">2015-03-30T11:06:52Z</dcterms:modified>
  <cp:category/>
  <cp:version/>
  <cp:contentType/>
  <cp:contentStatus/>
</cp:coreProperties>
</file>